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Meta-Data" sheetId="1" r:id="rId1"/>
    <sheet name="Schedule" sheetId="2" r:id="rId2"/>
    <sheet name="Links to this Spreadhseet's Web" sheetId="3" r:id="rId3"/>
  </sheets>
  <definedNames>
    <definedName name="a128A195">NA()</definedName>
    <definedName name="A1360r1360">NA()</definedName>
    <definedName name="a1406A1348">'Schedule'!$A$89</definedName>
    <definedName name="A1566r1568">'Schedule'!$304:$306</definedName>
    <definedName name="a17A86">'Schedule'!$G$408:$M$408</definedName>
    <definedName name="A617q621">'Schedule'!$A$133</definedName>
    <definedName name="A708qE709">'Schedule'!#REF!</definedName>
    <definedName name="A754q757">'Schedule'!#REF!</definedName>
    <definedName name="A808qE808">NA()</definedName>
    <definedName name="A814q814">NA()</definedName>
    <definedName name="A894Q895">NA()</definedName>
    <definedName name="ADAS">'Meta-Data'!#REF!</definedName>
    <definedName name="AltCarExpoSanMon">'Meta-Data'!#REF!</definedName>
    <definedName name="b0N1622">'Schedule'!$N$498</definedName>
    <definedName name="b1322G1404">NA()</definedName>
    <definedName name="b1545B987">'Schedule'!#REF!</definedName>
    <definedName name="b2264B493">NA()</definedName>
    <definedName name="b987B1038">NA()</definedName>
    <definedName name="d34i8D409">NA()</definedName>
    <definedName name="n1768E1932">'Schedule'!#REF!</definedName>
    <definedName name="q">NA()</definedName>
    <definedName name="WTC">NA()</definedName>
    <definedName name="A808qE808" localSheetId="1">NA()</definedName>
    <definedName name="A814q814" localSheetId="1">NA()</definedName>
    <definedName name="A894Q895" localSheetId="1">NA()</definedName>
    <definedName name="b2264B493" localSheetId="1">NA()</definedName>
    <definedName name="b987B1038" localSheetId="1">NA()</definedName>
    <definedName name="d34i8D409" localSheetId="1">NA()</definedName>
    <definedName name="q" localSheetId="1">NA()</definedName>
    <definedName name="WTC" localSheetId="1">NA()</definedName>
  </definedNames>
  <calcPr fullCalcOnLoad="1"/>
</workbook>
</file>

<file path=xl/comments1.xml><?xml version="1.0" encoding="utf-8"?>
<comments xmlns="http://schemas.openxmlformats.org/spreadsheetml/2006/main">
  <authors>
    <author>JZL</author>
  </authors>
  <commentList>
    <comment ref="C3" authorId="0">
      <text>
        <r>
          <rPr>
            <sz val="11"/>
            <color indexed="8"/>
            <rFont val="Calibri"/>
            <family val="2"/>
          </rPr>
          <t>Or moved from 
another Date/Venue</t>
        </r>
      </text>
    </comment>
    <comment ref="C5" authorId="0">
      <text>
        <r>
          <rPr>
            <sz val="11"/>
            <color indexed="8"/>
            <rFont val="Calibri"/>
            <family val="2"/>
          </rPr>
          <t>. . . from old version of same event.</t>
        </r>
      </text>
    </comment>
  </commentList>
</comments>
</file>

<file path=xl/comments2.xml><?xml version="1.0" encoding="utf-8"?>
<comments xmlns="http://schemas.openxmlformats.org/spreadsheetml/2006/main">
  <authors>
    <author>JZL</author>
  </authors>
  <commentList>
    <comment ref="Q2" authorId="0">
      <text>
        <r>
          <rPr>
            <sz val="11"/>
            <color indexed="8"/>
            <rFont val="Calibri"/>
            <family val="2"/>
          </rPr>
          <t xml:space="preserve">“not-appr” means not germain to EV
</t>
        </r>
      </text>
    </comment>
  </commentList>
</comments>
</file>

<file path=xl/sharedStrings.xml><?xml version="1.0" encoding="utf-8"?>
<sst xmlns="http://schemas.openxmlformats.org/spreadsheetml/2006/main" count="3516" uniqueCount="1986">
  <si>
    <t>Updated</t>
  </si>
  <si>
    <t>In the Past</t>
  </si>
  <si>
    <t>Light Gray 5</t>
  </si>
  <si>
    <t>Not in pages</t>
  </si>
  <si>
    <t>Light Gray 3</t>
  </si>
  <si>
    <t>Pending</t>
  </si>
  <si>
    <t>Light Yellow 3</t>
  </si>
  <si>
    <t>© 2016-2020</t>
  </si>
  <si>
    <t>Copied</t>
  </si>
  <si>
    <t>Light Yellow 2</t>
  </si>
  <si>
    <t>Joshua Zev Levin, Ph.D.</t>
  </si>
  <si>
    <t>Done</t>
  </si>
  <si>
    <t>255, 255, 56</t>
  </si>
  <si>
    <t>FFFF38</t>
  </si>
  <si>
    <t>Light Yellow 1</t>
  </si>
  <si>
    <t>Both (old)</t>
  </si>
  <si>
    <t>255, 233, 148</t>
  </si>
  <si>
    <t>FF2000</t>
  </si>
  <si>
    <t>Light Gold 2</t>
  </si>
  <si>
    <t>Fraud</t>
  </si>
  <si>
    <t>custom</t>
  </si>
  <si>
    <t>Future</t>
  </si>
  <si>
    <t>71, 255, 71</t>
  </si>
  <si>
    <t>47FF47</t>
  </si>
  <si>
    <t>'</t>
  </si>
  <si>
    <t>```</t>
  </si>
  <si>
    <t>Contact</t>
  </si>
  <si>
    <t>Call for papers / Exhibitors' Information / Colocated Events</t>
  </si>
  <si>
    <t>earliest due date</t>
  </si>
  <si>
    <t>Source</t>
  </si>
  <si>
    <t>On LeviCar .com?</t>
  </si>
  <si>
    <t>Name</t>
  </si>
  <si>
    <t>Frag Tag</t>
  </si>
  <si>
    <t>Main page URL</t>
  </si>
  <si>
    <t>Location</t>
  </si>
  <si>
    <r>
      <rPr>
        <b/>
        <sz val="11"/>
        <color indexed="8"/>
        <rFont val="Calibri"/>
        <family val="2"/>
      </rPr>
      <t>Date</t>
    </r>
    <r>
      <rPr>
        <sz val="11"/>
        <color indexed="8"/>
        <rFont val="Calibri"/>
        <family val="2"/>
      </rPr>
      <t>(s)</t>
    </r>
  </si>
  <si>
    <t>Graphic</t>
  </si>
  <si>
    <t>Catch Phrase</t>
  </si>
  <si>
    <r>
      <rPr>
        <b/>
        <sz val="11"/>
        <color indexed="8"/>
        <rFont val="Calibri"/>
        <family val="2"/>
      </rPr>
      <t>Webinar People</t>
    </r>
    <r>
      <rPr>
        <sz val="11"/>
        <color indexed="8"/>
        <rFont val="Calibri"/>
        <family val="2"/>
      </rPr>
      <t xml:space="preserve"> or </t>
    </r>
    <r>
      <rPr>
        <b/>
        <sz val="11"/>
        <color indexed="8"/>
        <rFont val="Calibri"/>
        <family val="2"/>
      </rPr>
      <t>Instructor</t>
    </r>
  </si>
  <si>
    <t>phone</t>
  </si>
  <si>
    <t>Email / Contacts Page</t>
  </si>
  <si>
    <t>Instructions URL</t>
  </si>
  <si>
    <t>Submission URL / email</t>
  </si>
  <si>
    <t>From</t>
  </si>
  <si>
    <t>URL</t>
  </si>
  <si>
    <t>Type</t>
  </si>
  <si>
    <t>Consumer Telematics Show 2020</t>
  </si>
  <si>
    <t>C-Telem</t>
  </si>
  <si>
    <t>Las Vegas, NV</t>
  </si>
  <si>
    <t>2020/01/06</t>
  </si>
  <si>
    <t>Telematics-2.png            132 x 104</t>
  </si>
  <si>
    <t>The Future Is Seamless</t>
  </si>
  <si>
    <t>(Telematics refers to any device which merges telecommunications and infomatics.)</t>
  </si>
  <si>
    <t>TU-Auto via InformaConnect</t>
  </si>
  <si>
    <t>Prof.</t>
  </si>
  <si>
    <t>No</t>
  </si>
  <si>
    <t>Tower to the People Film Screening Director &amp;bull; Q&amp;A &amp;bull; Catered Reception</t>
  </si>
  <si>
    <t>Tower2People</t>
  </si>
  <si>
    <t>Huntington, NY</t>
  </si>
  <si>
    <t>2020/01/07  18:30 – 21:30  EST</t>
  </si>
  <si>
    <t>TowerFilm-Header.png    164 x 113</t>
  </si>
  <si>
    <t>Join us for this very special tribute to honor the life and work of one of history&amp;rsquo;s greatest minds, Nikola Tesla [to] be followed by a Q&amp;A with the film&amp;rsquo;s director and Tesla expert, Joseph Sikorski.</t>
  </si>
  <si>
    <t>Adults:  $50</t>
  </si>
  <si>
    <t>Movie (rent or purchase):  https://vimeo.com/ondemand/nikolatesla</t>
  </si>
  <si>
    <t>Family</t>
  </si>
  <si>
    <t>$35 / year</t>
  </si>
  <si>
    <t>Tesla Science Center at Wardenclyffe</t>
  </si>
  <si>
    <t>Public</t>
  </si>
  <si>
    <t>LeviCar only</t>
  </si>
  <si>
    <t>Seniors / Students / Veterans:  $45</t>
  </si>
  <si>
    <t>Individual</t>
  </si>
  <si>
    <t>$25 / year</t>
  </si>
  <si>
    <t>Trailer:  https://vimeo.com/105653904</t>
  </si>
  <si>
    <t>Student / Senior</t>
  </si>
  <si>
    <t>$15 / year</t>
  </si>
  <si>
    <t>Members:  $40</t>
  </si>
  <si>
    <t>Corporate</t>
  </si>
  <si>
    <t>$300 / year</t>
  </si>
  <si>
    <t>CES 2020 (formerly Consumer Electronics Show)</t>
  </si>
  <si>
    <t>CES-2020</t>
  </si>
  <si>
    <t>2020/01/07 – 10</t>
  </si>
  <si>
    <t>CES-2020.png   165 x 96</t>
  </si>
  <si>
    <t>&amp;hellip; world&amp;lsqo;s gathering place for all those who thrive on the business of consumer technologies.</t>
  </si>
  <si>
    <t>SAE</t>
  </si>
  <si>
    <t>https://www.sae.org/attend/</t>
  </si>
  <si>
    <t>Public / Prof.</t>
  </si>
  <si>
    <t>Yes</t>
  </si>
  <si>
    <t>Connect2Car@CES</t>
  </si>
  <si>
    <t>Connect2Car</t>
  </si>
  <si>
    <t>2020/01/07</t>
  </si>
  <si>
    <t>CES-Logo-small.png      165 x 96</t>
  </si>
  <si>
    <t>&amp;hellip; the longest continually running session at CES.&amp;nbsp; &amp;hellip; explore what is next in connected mobility.</t>
  </si>
  <si>
    <t>Webinar on the changes to the DoD SBIR / STTR program</t>
  </si>
  <si>
    <t>DoD-SBIR-1</t>
  </si>
  <si>
    <t>2020/01/09</t>
  </si>
  <si>
    <t>Free Webinar:  Electric Vehicles:  Can Legislation Keep up with Technology</t>
  </si>
  <si>
    <t>Legislation</t>
  </si>
  <si>
    <t>2020/01/09  11:00 – 12:30</t>
  </si>
  <si>
    <t>Harrison-Russell.png   76 x 120</t>
  </si>
  <si>
    <t>Are electric vehicles an emerging technology, or a mature technology? &amp;hellip;&amp;nbsp; Some legislators believe electric vehicles are &amp;hellip; ready to sink or swim in the free market.&amp;nbsp; To others, the technology &amp;hellip; requires government assistance to survive.</t>
  </si>
  <si>
    <r>
      <rPr>
        <sz val="11"/>
        <color indexed="8"/>
        <rFont val="Calibri"/>
        <family val="2"/>
      </rPr>
      <t xml:space="preserve">Presented by:  </t>
    </r>
    <r>
      <rPr>
        <b/>
        <sz val="11"/>
        <color indexed="8"/>
        <rFont val="Calibri"/>
        <family val="2"/>
      </rPr>
      <t>Russell Harrison</t>
    </r>
    <r>
      <rPr>
        <sz val="11"/>
        <color indexed="8"/>
        <rFont val="Calibri"/>
        <family val="2"/>
      </rPr>
      <t>, Director of Government Relations for the IEEE-USA</t>
    </r>
  </si>
  <si>
    <t>Eric Cheng</t>
  </si>
  <si>
    <t>mailto:eric-cheng.cheng@polyu.edu.hk</t>
  </si>
  <si>
    <t>IEEE Transportation Electrification Webinars</t>
  </si>
  <si>
    <t>https://tec.ieee.org/education/webinars/</t>
  </si>
  <si>
    <t>aabc-E</t>
  </si>
  <si>
    <t>Wiesbaden, Germany</t>
  </si>
  <si>
    <t>2020/01/12 – 16</t>
  </si>
  <si>
    <t>2019/08/02, extended from 07/12</t>
  </si>
  <si>
    <t>Series page:</t>
  </si>
  <si>
    <t>http://www.advancedautobat.com/</t>
  </si>
  <si>
    <t>Student Posters:  http://www.advancedautobat.com/europe/posters/</t>
  </si>
  <si>
    <t>ASAP; final 2019/11/22</t>
  </si>
  <si>
    <t>Symposium:  Battery Recycling</t>
  </si>
  <si>
    <t>Bat-Recyc</t>
  </si>
  <si>
    <t>2020/01/13 – 14</t>
  </si>
  <si>
    <t>Bat-Recyc.png  128 x 130</t>
  </si>
  <si>
    <t>&amp;hellip; the need for sustainable battery materials from recycling sources will grow exponentially.</t>
  </si>
  <si>
    <t>Craig Wohlers</t>
  </si>
  <si>
    <t>781-247-6260</t>
  </si>
  <si>
    <t>Transportation Research Board 99&lt;sup&gt;th&lt;/sup&gt; Annual Meeting</t>
  </si>
  <si>
    <t>TRB-AM</t>
  </si>
  <si>
    <t>Washington, DC</t>
  </si>
  <si>
    <t>TRB-Meeting-2020.png    304 x102</t>
  </si>
  <si>
    <t>&amp;hellip; will cover all transportation modes &amp;hellip;</t>
  </si>
  <si>
    <t>Transportation Research Board (TRB)</t>
  </si>
  <si>
    <t>Transportation Research Record: Journal of the Transportation Research Board:  https://journals.sagepub.com/home/trr</t>
  </si>
  <si>
    <t>mailto:trr@nas.edu</t>
  </si>
  <si>
    <t>DoD-SBIR-2</t>
  </si>
  <si>
    <t>2020/01/16</t>
  </si>
  <si>
    <t>Live, Free Webinar:  3 Tips for Successful Workplace EV Charging</t>
  </si>
  <si>
    <t>3-Tips</t>
  </si>
  <si>
    <t>2020/01/21 – 13:00 EST</t>
  </si>
  <si>
    <t>Thomas-Bazzari.png    187 x 120</t>
  </si>
  <si>
    <t>Today, electric vehicle (EV) sales are growing 50% YoY, yet only 10% of EV drivers have access to charging at work.</t>
  </si>
  <si>
    <t>Tracy Thomas, Senior Director, Workplace Solutions</t>
  </si>
  <si>
    <t>Charge Point</t>
  </si>
  <si>
    <t>Prof. / Public</t>
  </si>
  <si>
    <t>Reem Bazzari, Senior Product Marketing Manager, ChargePoint</t>
  </si>
  <si>
    <t>Webinar:  All Solid-State Batteries and the Future of Energy Storage</t>
  </si>
  <si>
    <t>All-Solid</t>
  </si>
  <si>
    <t>2020/01/22  10:00 EST</t>
  </si>
  <si>
    <t>Meng-Tan.png  179 x 120</t>
  </si>
  <si>
    <r>
      <rPr>
        <b/>
        <sz val="11"/>
        <color indexed="8"/>
        <rFont val="Calibri"/>
        <family val="2"/>
      </rPr>
      <t>Dr. Y. Shirley Meng</t>
    </r>
    <r>
      <rPr>
        <sz val="11"/>
        <color indexed="8"/>
        <rFont val="Calibri"/>
        <family val="2"/>
      </rPr>
      <t xml:space="preserve"> – Professor at University of California San Diego</t>
    </r>
  </si>
  <si>
    <t>Fee:  $ 99</t>
  </si>
  <si>
    <t>PlugVolt</t>
  </si>
  <si>
    <r>
      <rPr>
        <b/>
        <sz val="11"/>
        <color indexed="8"/>
        <rFont val="Calibri"/>
        <family val="2"/>
      </rPr>
      <t>Darren Tan</t>
    </r>
    <r>
      <rPr>
        <sz val="11"/>
        <color indexed="8"/>
        <rFont val="Calibri"/>
        <family val="2"/>
      </rPr>
      <t xml:space="preserve"> – Founder and CTO at Unigrid Pte. Ltd.</t>
    </r>
  </si>
  <si>
    <t>Free Webinar:  Optimizing safety and reliability of EV battery packs with thermal management and sealing</t>
  </si>
  <si>
    <t>Optimizing</t>
  </si>
  <si>
    <t>2020/01/22  11:00 EST</t>
  </si>
  <si>
    <t>Catherine-George.png   91 x 120</t>
  </si>
  <si>
    <t>&amp;hellip; how thermal management and sealing can help improve the performance of your battery pack, and protect it &amp;hellip;</t>
  </si>
  <si>
    <r>
      <rPr>
        <b/>
        <sz val="11"/>
        <color indexed="8"/>
        <rFont val="Calibri"/>
        <family val="2"/>
      </rPr>
      <t>Catherine George</t>
    </r>
    <r>
      <rPr>
        <sz val="11"/>
        <color indexed="8"/>
        <rFont val="Calibri"/>
        <family val="2"/>
      </rPr>
      <t xml:space="preserve"> (pictured), Sealing &amp; Bonding EMEA Market Manager, Elkem Silicones</t>
    </r>
  </si>
  <si>
    <t>CHARGED Electric Vehicles Magazine</t>
  </si>
  <si>
    <t>https://chargedevs.com/</t>
  </si>
  <si>
    <r>
      <rPr>
        <b/>
        <sz val="11"/>
        <color indexed="8"/>
        <rFont val="Calibri"/>
        <family val="2"/>
      </rPr>
      <t>Chris Helt</t>
    </r>
    <r>
      <rPr>
        <sz val="11"/>
        <color indexed="8"/>
        <rFont val="Calibri"/>
        <family val="2"/>
      </rPr>
      <t>, Staff Scientist, Elkem Silicones</t>
    </r>
  </si>
  <si>
    <t>SAE 2020 Government / Industry Meeting</t>
  </si>
  <si>
    <t>SAE-G-I-Mtg</t>
  </si>
  <si>
    <t>2020/01/22 – 24</t>
  </si>
  <si>
    <t>Capitol-small.png            77 x 63</t>
  </si>
  <si>
    <t>This neutral forum convenes government regulatory makers with auto industry representatives &amp;hellip;</t>
  </si>
  <si>
    <t>Renewable Gas 360</t>
  </si>
  <si>
    <t>Renew-Gas</t>
  </si>
  <si>
    <t>Sacramento, CA</t>
  </si>
  <si>
    <t>2020/01/22 – 23</t>
  </si>
  <si>
    <t>Renewable-Gas.png          84 x 80</t>
  </si>
  <si>
    <t>removing the fossil from the fuel</t>
  </si>
  <si>
    <t>Act News</t>
  </si>
  <si>
    <t>Hybrid &amp; Electric Vehicle Technologies Symposium (HVTS)</t>
  </si>
  <si>
    <t>HybridEV</t>
  </si>
  <si>
    <t>Pasadena, CA</t>
  </si>
  <si>
    <t>2020/01/28 – 30</t>
  </si>
  <si>
    <t>Hybrid-EV-2020.png    228 x 88</t>
  </si>
  <si>
    <t>The future is green. The future is electric. It all starts at Hybrid.</t>
  </si>
  <si>
    <t>Webinar:  SBIR/STTR for Faculty, Post-Docs and Grad Students</t>
  </si>
  <si>
    <t>2020/02/05        14:00</t>
  </si>
  <si>
    <t>CTNext.png   200 x 200</t>
  </si>
  <si>
    <t>This webinar will highlight where you'll need to think, plan and write differently to be successful with the SBIR/STTR program &amp;hellip;</t>
  </si>
  <si>
    <t>Johnna Scott</t>
  </si>
  <si>
    <t>(860) 258-7807</t>
  </si>
  <si>
    <t>Free webinar:  E-mobility as an energy resource</t>
  </si>
  <si>
    <t>E-Mob-E-Resource</t>
  </si>
  <si>
    <t>2020/02/06  09:00 – 10:00 EST   15:00 – 16:00 CET</t>
  </si>
  <si>
    <t>Villa-Russo.png  172 x 120</t>
  </si>
  <si>
    <t>Best Practices to Drive Regulatory Changes</t>
  </si>
  <si>
    <t>Michael Villa, Head of Policy, smartEn, Moderator</t>
  </si>
  <si>
    <t>Free of charge &amp;ndash; Limited Participation (Register early)</t>
  </si>
  <si>
    <t>The European Association for Electromobility</t>
  </si>
  <si>
    <t>http://avere.org/calendar/</t>
  </si>
  <si>
    <t>Roberto Russo, Project Development Power2Drive, Solar Promotion, Host</t>
  </si>
  <si>
    <t>Power2Drive</t>
  </si>
  <si>
    <t>STEAM Night at Miller Place High School</t>
  </si>
  <si>
    <t>SteamNight</t>
  </si>
  <si>
    <t>Miller Place, LI, NY</t>
  </si>
  <si>
    <t>2020/02/06</t>
  </si>
  <si>
    <t>STEAM-Night-MPS.png       108 x 104</t>
  </si>
  <si>
    <t>EV Charging Technology and Infrastructure &amp;ndash; Interactive Expert Panel Discussion</t>
  </si>
  <si>
    <t>Maastricht</t>
  </si>
  <si>
    <t>Maastricht, Netherlands</t>
  </si>
  <si>
    <t>2020/02/07</t>
  </si>
  <si>
    <t>EV-Charging.png   89 x 106</t>
  </si>
  <si>
    <t>Future of Emobility depends on access to efficient charging</t>
  </si>
  <si>
    <t>Webinar: The US 2020 Market for Electrified Vehicles: Forward, Backward, or Sideways?</t>
  </si>
  <si>
    <t>US-Market</t>
  </si>
  <si>
    <t>2020/02/12  10:00  EST</t>
  </si>
  <si>
    <t>Alan-Baum.png      97 x 127</t>
  </si>
  <si>
    <t>&amp;hellip; will sales rise quickly enough to keep the market moving forward?</t>
  </si>
  <si>
    <r>
      <rPr>
        <b/>
        <sz val="11"/>
        <color indexed="8"/>
        <rFont val="Calibri"/>
        <family val="2"/>
      </rPr>
      <t xml:space="preserve">Alan Baum </t>
    </r>
    <r>
      <rPr>
        <sz val="11"/>
        <color indexed="8"/>
        <rFont val="Calibri"/>
        <family val="2"/>
      </rPr>
      <t>– Principal, Baum &amp; Associates</t>
    </r>
  </si>
  <si>
    <t>Webinar:  Addressing Barriers to EVI Deployment in Disadvantaged Communities (DACs)</t>
  </si>
  <si>
    <t>DAC</t>
  </si>
  <si>
    <t>2020/02/18  16:00 – 17:00 EST</t>
  </si>
  <si>
    <t>CSE.png          79 x 77</t>
  </si>
  <si>
    <t>&amp;hellip; there are also unique approaches that are beneficial to communities where air quality improvement is a priority.</t>
  </si>
  <si>
    <r>
      <rPr>
        <b/>
        <sz val="11"/>
        <color indexed="8"/>
        <rFont val="Calibri"/>
        <family val="2"/>
      </rPr>
      <t>Kevin Wood</t>
    </r>
    <r>
      <rPr>
        <sz val="11"/>
        <color indexed="8"/>
        <rFont val="Calibri"/>
        <family val="2"/>
      </rPr>
      <t>, Clean Transportation Specialist, Center for Sustainable Energy</t>
    </r>
  </si>
  <si>
    <t>Center for Sustainable Energy</t>
  </si>
  <si>
    <r>
      <rPr>
        <b/>
        <sz val="11"/>
        <color indexed="8"/>
        <rFont val="Calibri"/>
        <family val="2"/>
      </rPr>
      <t>Linda Urata</t>
    </r>
    <r>
      <rPr>
        <sz val="11"/>
        <color indexed="8"/>
        <rFont val="Calibri"/>
        <family val="2"/>
      </rPr>
      <t>, Regional Planner, Kern Council of Governments</t>
    </r>
  </si>
  <si>
    <t>The European Startup Prize for Mobility</t>
  </si>
  <si>
    <t>StartUpPrize</t>
  </si>
  <si>
    <t>Berlin, Germany</t>
  </si>
  <si>
    <t>Euro-StartUp-Prz-Mobility-plain.png      200 x 200</t>
  </si>
  <si>
    <t>&amp;hellip; unique acceleration programme that supports startups developing sustainable mobility innovations &amp;hellip;</t>
  </si>
  <si>
    <t>2020/03/31</t>
  </si>
  <si>
    <t>ERTICO</t>
  </si>
  <si>
    <t>SBIR/STTR Workshop focused on proposal development for DoD, DoE, and NSF</t>
  </si>
  <si>
    <t>Hartford, CT</t>
  </si>
  <si>
    <t>2020/02/25         (DoD)</t>
  </si>
  <si>
    <t>&amp;hellip; intensive, two-day SBIR/STTR workshop focused on proposal development for the DoD, DoE, and NSF.</t>
  </si>
  <si>
    <t>Jerry Hollister</t>
  </si>
  <si>
    <t>2020/02/26   (NSF/DoE)</t>
  </si>
  <si>
    <t>Battery Electric Vehicle Architectures</t>
  </si>
  <si>
    <t>BEVA</t>
  </si>
  <si>
    <t>Detroit, MI</t>
  </si>
  <si>
    <t>2020/02/26 – 27</t>
  </si>
  <si>
    <t>BEVA-2020.png    105 x 86</t>
  </si>
  <si>
    <t>Developing Affordable Mass Market Electric Vehicles</t>
  </si>
  <si>
    <t>ITS European Congress &amp;ndash; Open Day</t>
  </si>
  <si>
    <t>ITS-Europe-Open-Day</t>
  </si>
  <si>
    <t>Hamburg, Germany</t>
  </si>
  <si>
    <t>2020/03/03</t>
  </si>
  <si>
    <t>ITS-World-Cong-Hamb.png    307 x 187</t>
  </si>
  <si>
    <t>Experience Future Mobility Now</t>
  </si>
  <si>
    <t>Register by:  2020/02/18</t>
  </si>
  <si>
    <t>http://ertico.com/projects/congresses/</t>
  </si>
  <si>
    <t>ITS Europe</t>
  </si>
  <si>
    <t>http://itsineurope.com/</t>
  </si>
  <si>
    <t>Advances in Magnetics (AIM 2020)</t>
  </si>
  <si>
    <t>AIM-2020</t>
  </si>
  <si>
    <t>Moena, Trentino, Italy</t>
  </si>
  <si>
    <t>2020/03/08 – 11</t>
  </si>
  <si>
    <t>AIM2020.png   274 x 100</t>
  </si>
  <si>
    <t xml:space="preserve">&amp;hellip; most recent advancements in all the fields of Magnetics: theory, numerical modeling, experiments and applications. </t>
  </si>
  <si>
    <t>2019/09/20</t>
  </si>
  <si>
    <t>The International Maglev Board</t>
  </si>
  <si>
    <t>http://www.maglevboard.net/en/;   http://www.maglevboard.net/en/the-conferences</t>
  </si>
  <si>
    <t>SAE Free Webinar:  Electric-Vehicle Transmission Development and Simulation</t>
  </si>
  <si>
    <t>EV-Trans</t>
  </si>
  <si>
    <t>2020/03/10 12:00 – 13:00 EDT</t>
  </si>
  <si>
    <t>Marshaus-Patton-Arrigo.png    252 x 120</t>
  </si>
  <si>
    <t>&amp;hellip; several suppliers and third-party developers see multi-speed transmissions as offering &amp;hellip; increased energy efficiency and driving range.</t>
  </si>
  <si>
    <r>
      <rPr>
        <b/>
        <sz val="11"/>
        <color indexed="8"/>
        <rFont val="Calibri"/>
        <family val="2"/>
      </rPr>
      <t>Julie G. Marhaus</t>
    </r>
    <r>
      <rPr>
        <sz val="11"/>
        <color indexed="8"/>
        <rFont val="Calibri"/>
        <family val="2"/>
      </rPr>
      <t>, Engineering Manager, eMobility, Eaton Group</t>
    </r>
  </si>
  <si>
    <t xml:space="preserve">SAE Webcasts </t>
  </si>
  <si>
    <r>
      <rPr>
        <b/>
        <sz val="11"/>
        <rFont val="Calibri"/>
        <family val="2"/>
      </rPr>
      <t>Jim Patton</t>
    </r>
    <r>
      <rPr>
        <sz val="11"/>
        <rFont val="Calibri"/>
        <family val="2"/>
      </rPr>
      <t>, Applictions Engineering Director, Saber Product Line, Synopsis</t>
    </r>
  </si>
  <si>
    <r>
      <rPr>
        <sz val="11"/>
        <color indexed="8"/>
        <rFont val="Calibri"/>
        <family val="2"/>
      </rPr>
      <t xml:space="preserve">Moderator:  </t>
    </r>
    <r>
      <rPr>
        <b/>
        <sz val="11"/>
        <color indexed="8"/>
        <rFont val="Calibri"/>
        <family val="2"/>
      </rPr>
      <t>Lisa Arrigo</t>
    </r>
  </si>
  <si>
    <t>EIS for Energy Storage Tutorial Course 1/3 – Basics of Electrochemical Impedance Spectroscopy</t>
  </si>
  <si>
    <t>EIS-1</t>
  </si>
  <si>
    <t>2020/03/11  10:00  EDT</t>
  </si>
  <si>
    <t>Nicolas-Murer.png     76 x 120</t>
  </si>
  <si>
    <t>The theoretical [and practical] principles of Electrochemical Impedance Spectroscopy (EIS) are given.</t>
  </si>
  <si>
    <r>
      <rPr>
        <b/>
        <sz val="11"/>
        <color indexed="8"/>
        <rFont val="Calibri"/>
        <family val="2"/>
      </rPr>
      <t>Dr. Nicolas Murer</t>
    </r>
    <r>
      <rPr>
        <sz val="11"/>
        <color indexed="8"/>
        <rFont val="Calibri"/>
        <family val="2"/>
      </rPr>
      <t xml:space="preserve"> – Product Manager and Applications Engineer at Bio-Logic SAS, France</t>
    </r>
  </si>
  <si>
    <t>Fees:  $ 99 for one course, $249 for all three</t>
  </si>
  <si>
    <t>Eaton Free Webinar:  Next Generation Circuit Protection in Electric Vehicles</t>
  </si>
  <si>
    <t>2020/03/11  13:00  EDT</t>
  </si>
  <si>
    <t>Kevin-Calzada.png   83 x 120</t>
  </si>
  <si>
    <t>&amp;hellip; there are important safety implications to be considered as power, voltages, and charging rates are increasing.</t>
  </si>
  <si>
    <r>
      <rPr>
        <b/>
        <sz val="11"/>
        <color indexed="8"/>
        <rFont val="Calibri"/>
        <family val="2"/>
      </rPr>
      <t>Kevin Calzada</t>
    </r>
    <r>
      <rPr>
        <sz val="11"/>
        <color indexed="8"/>
        <rFont val="Calibri"/>
        <family val="2"/>
      </rPr>
      <t>, Global Product Strategy Manager, eMobility, Eaton</t>
    </r>
  </si>
  <si>
    <t>Go Mobility &amp;mdash; the Basque New Mobility Exhibition</t>
  </si>
  <si>
    <t>Go-Mobility</t>
  </si>
  <si>
    <t>Ficoba. Irun, Basque Auton. Reg., Spain</t>
  </si>
  <si>
    <t>2020/03/11 – 12</t>
  </si>
  <si>
    <t>Irun-Bus.png   186 x 62</t>
  </si>
  <si>
    <t>Change is here. Don&amp;rsquo;t miss out!</t>
  </si>
  <si>
    <t>Tesla STEAM Camp (prev. Tesla Winter Tech Art Camp)</t>
  </si>
  <si>
    <t>STEAM-Camp; ArtCamp</t>
  </si>
  <si>
    <t>Southampton, LI, NY</t>
  </si>
  <si>
    <t>2020/02/08 – 04/11  (Saturdays, 10:00 – 12:00)</t>
  </si>
  <si>
    <t>TeslaWinterArtCamp.png    89 x 120</t>
  </si>
  <si>
    <t>Join us for an electrifying camp experience where students will discover the connections between art and technology.</t>
  </si>
  <si>
    <t>Ages 7 – 12</t>
  </si>
  <si>
    <t>2020 National Shared Mobility Summit</t>
  </si>
  <si>
    <t>Shared-Use</t>
  </si>
  <si>
    <t>Chicago, IL</t>
  </si>
  <si>
    <t>2020/03/17 – 19</t>
  </si>
  <si>
    <t>Shared-Use.png       138 x 138</t>
  </si>
  <si>
    <t>&amp;hellip; where innovators and advocates &amp;hellip; find new ideas to support equitable, accessible, affordable and clean mobility for everyone.</t>
  </si>
  <si>
    <t>Shared-Use Mobility Center</t>
  </si>
  <si>
    <t>VETECH 2020:  IEEE New Vehicular Technologies</t>
  </si>
  <si>
    <t>VETECH</t>
  </si>
  <si>
    <t>Alajuela, Costa Rica</t>
  </si>
  <si>
    <t>2020/03/18 – 20</t>
  </si>
  <si>
    <t>VETECH-2020.png      127 x 91</t>
  </si>
  <si>
    <t>&amp;hellip; a workshop that follows the Government program to reduce Carbon emissions [for] all segments or the transportation world, mass passengers, freight &amp;hellip; and individual vehicles.</t>
  </si>
  <si>
    <t>IEEE Transportation Electrification Comunity</t>
  </si>
  <si>
    <t>Easy Chair</t>
  </si>
  <si>
    <t>Free Podcast:  Marc Seifer, Best-Selling Author of Nikola Tesla Biography</t>
  </si>
  <si>
    <t>Wizard</t>
  </si>
  <si>
    <t>2020/03/19  10:30 – 10:45 EDT</t>
  </si>
  <si>
    <t>TeslaPodcast.png    149 x 102</t>
  </si>
  <si>
    <t xml:space="preserve">Speculation about tunnels beneath Wardenclyffe has existed since &amp;hellip; 1901.&amp;nbsp; &amp;hellip; Why would Tesla build tunnels beneath his laboratory and 18-story transmitting tower?  Explore [this] enduring myster[y] with best-selling author and Tesla historian, Marc Seifer, in this intriguing new podcast. </t>
  </si>
  <si>
    <r>
      <rPr>
        <sz val="11"/>
        <color indexed="8"/>
        <rFont val="Calibri"/>
        <family val="2"/>
      </rPr>
      <t xml:space="preserve">Guest:  </t>
    </r>
    <r>
      <rPr>
        <b/>
        <sz val="11"/>
        <color indexed="8"/>
        <rFont val="Calibri"/>
        <family val="2"/>
      </rPr>
      <t>Marc Seifer</t>
    </r>
    <r>
      <rPr>
        <sz val="11"/>
        <color indexed="8"/>
        <rFont val="Calibri"/>
        <family val="2"/>
      </rPr>
      <t>, Best-Selling Author of &lt;i&gt;Wizard: The Life and Times of Nikola Tesla&lt;/i&gt;</t>
    </r>
  </si>
  <si>
    <t>https://teslasciencecenter.org/</t>
  </si>
  <si>
    <r>
      <rPr>
        <b/>
        <sz val="11"/>
        <color indexed="8"/>
        <rFont val="Calibri"/>
        <family val="2"/>
      </rPr>
      <t>Marc Alessi</t>
    </r>
    <r>
      <rPr>
        <sz val="11"/>
        <color indexed="8"/>
        <rFont val="Calibri"/>
        <family val="2"/>
      </rPr>
      <t>, Executive Director, TSCW</t>
    </r>
  </si>
  <si>
    <r>
      <rPr>
        <b/>
        <sz val="11"/>
        <color indexed="8"/>
        <rFont val="Calibri"/>
        <family val="2"/>
      </rPr>
      <t>Lisa Mirabile</t>
    </r>
    <r>
      <rPr>
        <sz val="11"/>
        <color indexed="8"/>
        <rFont val="Calibri"/>
        <family val="2"/>
      </rPr>
      <t>, COO, Vertigo Media Group</t>
    </r>
  </si>
  <si>
    <t>TRB Webinar: Exploring equity implications of emerging transportation technologies</t>
  </si>
  <si>
    <t>Equity</t>
  </si>
  <si>
    <t>2020/03/19   14:00 – 15:30 EDT</t>
  </si>
  <si>
    <t>Farmahan-Circella-Brodie-Barrella.png    476 x 120</t>
  </si>
  <si>
    <t>&amp;hellip; explore how agencies can define and address disparity as they relate to emerging technologies and new transportation modes.</t>
  </si>
  <si>
    <r>
      <rPr>
        <b/>
        <sz val="11"/>
        <color indexed="8"/>
        <rFont val="Calibri"/>
        <family val="2"/>
      </rPr>
      <t>Sunny Farmahan</t>
    </r>
    <r>
      <rPr>
        <sz val="11"/>
        <color indexed="8"/>
        <rFont val="Calibri"/>
        <family val="2"/>
      </rPr>
      <t>, Arkansas Department of Transportation</t>
    </r>
  </si>
  <si>
    <t>$95 fee for some people
1.5 Professional Development Hours (PDHs)</t>
  </si>
  <si>
    <t>http://www.trb.org/Calendar/Calendar.aspx</t>
  </si>
  <si>
    <r>
      <rPr>
        <b/>
        <sz val="11"/>
        <color indexed="8"/>
        <rFont val="Calibri"/>
        <family val="2"/>
      </rPr>
      <t>Giovanni Circella</t>
    </r>
    <r>
      <rPr>
        <sz val="11"/>
        <color indexed="8"/>
        <rFont val="Calibri"/>
        <family val="2"/>
      </rPr>
      <t>, University of California, Davis</t>
    </r>
  </si>
  <si>
    <r>
      <rPr>
        <b/>
        <sz val="11"/>
        <color indexed="8"/>
        <rFont val="Calibri"/>
        <family val="2"/>
      </rPr>
      <t>Stefanie Brodie</t>
    </r>
    <r>
      <rPr>
        <sz val="11"/>
        <color indexed="8"/>
        <rFont val="Calibri"/>
        <family val="2"/>
      </rPr>
      <t>, Toole Design Group</t>
    </r>
  </si>
  <si>
    <r>
      <rPr>
        <sz val="11"/>
        <color indexed="8"/>
        <rFont val="Calibri"/>
        <family val="2"/>
      </rPr>
      <t xml:space="preserve">Moderated by: </t>
    </r>
    <r>
      <rPr>
        <b/>
        <sz val="11"/>
        <color indexed="8"/>
        <rFont val="Calibri"/>
        <family val="2"/>
      </rPr>
      <t>Elise Barrella</t>
    </r>
    <r>
      <rPr>
        <sz val="11"/>
        <color indexed="8"/>
        <rFont val="Calibri"/>
        <family val="2"/>
      </rPr>
      <t>, Wake Forest University</t>
    </r>
  </si>
  <si>
    <t>Online &amp;mdash; At&amp;nbsp;Home</t>
  </si>
  <si>
    <t>2020/03/20 13:30 – 15:00 EDT</t>
  </si>
  <si>
    <t>Get ready to explore paper engineering!  Gather some basic supplies to participate live.&amp;nbsp;&amp;hellip;</t>
  </si>
  <si>
    <t>Ages 6– 12</t>
  </si>
  <si>
    <t>EIS for Energy Storage Tutorial Course 2/3 – How to Perform Good and Reliable EIS Measurements</t>
  </si>
  <si>
    <t>EIS-2</t>
  </si>
  <si>
    <t>2020/03/25  10:00  EDT</t>
  </si>
  <si>
    <t>Electrochemical Impedance Spectroscopy (EIS) is a powerful technique, but it might be difficult to know which parameters to set as it really depends on the studied system.</t>
  </si>
  <si>
    <t>2020/03/25 13:30 – 15:00 EDT</t>
  </si>
  <si>
    <t>Explore the basic science behind rocket propulsion using materials found in most homes.</t>
  </si>
  <si>
    <t>$10 Members;
$20 non-members</t>
  </si>
  <si>
    <t>Webinar:  Pricing of public charging for electric vehicles and the European Alternative Fuel Observatory (EAFO) project</t>
  </si>
  <si>
    <t>EAFO</t>
  </si>
  <si>
    <t>(Never listed)</t>
  </si>
  <si>
    <t>Brussels, Belgium</t>
  </si>
  <si>
    <t>2020/04/02 10:00 CET</t>
  </si>
  <si>
    <t xml:space="preserve">&amp;hellip; the future of pricing and business model for charging. </t>
  </si>
  <si>
    <t>http://avere.org/</t>
  </si>
  <si>
    <t>The Third Annual National Mobility Summit</t>
  </si>
  <si>
    <t>Mobility-21</t>
  </si>
  <si>
    <t>2020/04/02</t>
  </si>
  <si>
    <t>Mobility-21.png          297 x 61</t>
  </si>
  <si>
    <t>Innovating Mobility for All</t>
  </si>
  <si>
    <r>
      <rPr>
        <b/>
        <sz val="11"/>
        <color indexed="8"/>
        <rFont val="Calibri"/>
        <family val="2"/>
      </rPr>
      <t>Diana Furchtgott-Roth</t>
    </r>
    <r>
      <rPr>
        <sz val="11"/>
        <color indexed="8"/>
        <rFont val="Calibri"/>
        <family val="2"/>
      </rPr>
      <t>, Deputy Assistant Secretary for Research and Technology, U.S. Department of Transportation</t>
    </r>
  </si>
  <si>
    <t>Lisa Kay Schweyer</t>
  </si>
  <si>
    <t>US Department of Transportation University Transportation Centers</t>
  </si>
  <si>
    <t>Student / Prof.</t>
  </si>
  <si>
    <t>Smart Cities Connect Spring Conference &amp; Expo</t>
  </si>
  <si>
    <t>SmartCities</t>
  </si>
  <si>
    <t>Colorado Springs, CO</t>
  </si>
  <si>
    <t>2020/04/06 – 09</t>
  </si>
  <si>
    <t>SmartCitiesConnect.png         253 x 253</t>
  </si>
  <si>
    <t>Real Community, Real Solutions.</t>
  </si>
  <si>
    <t>2020/01/17</t>
  </si>
  <si>
    <t>TechConnect</t>
  </si>
  <si>
    <t>Connected and Autonomous Vehicles 2020</t>
  </si>
  <si>
    <t>CAV-2020</t>
  </si>
  <si>
    <t>Santa Jose, CA</t>
  </si>
  <si>
    <t>CAV-2020.png  127 x 110</t>
  </si>
  <si>
    <t>Where Auto Meets IoT &amp;ndash; Enabling the Era of Automated Mobility on Demand</t>
  </si>
  <si>
    <t>????</t>
  </si>
  <si>
    <t>https://automotive.knect365.com/</t>
  </si>
  <si>
    <t>Prof. ?</t>
  </si>
  <si>
    <t>2018/12/14</t>
  </si>
  <si>
    <t>ZEB – Zero Emission Bus Conference 2020</t>
  </si>
  <si>
    <t>ZEB</t>
  </si>
  <si>
    <t>Paris, France</t>
  </si>
  <si>
    <t>2020/04/07 – 08</t>
  </si>
  <si>
    <t>Zero-Emiss-Bus.png        102 x 103</t>
  </si>
  <si>
    <t>&amp;hellip;  solutions and challenges of decarbonising the bus industry.</t>
  </si>
  <si>
    <t>AVERE</t>
  </si>
  <si>
    <t>EIS for Energy Storage Tutorial Course 3/3 – Application Examples in Energy Storage Taken From The Literature</t>
  </si>
  <si>
    <t>EIS-3</t>
  </si>
  <si>
    <t>2020/04/08  10:00  EDT</t>
  </si>
  <si>
    <t>Nicolas-Murer.png         76 x 120</t>
  </si>
  <si>
    <t>&amp;hellip; some examples of applications of EIS to various types of energy storage &amp;hellip;</t>
  </si>
  <si>
    <t xml:space="preserve">Fees:  $ 99 for one course, $249 for all three </t>
  </si>
  <si>
    <t>Free TESLA UNWIRED Webcast: Greg Leyh, Lightning on Demand</t>
  </si>
  <si>
    <t>Lightning</t>
  </si>
  <si>
    <t>2020/04/09  14:00 EDT</t>
  </si>
  <si>
    <t>LOD.png       113 x 110</t>
  </si>
  <si>
    <t xml:space="preserve">Greg Leyh, electrical engineer and builder of some of the world&amp;rsquo;s largest Tesla coils, will give a video presentation [of] Tesla&amp;rsquo;s wireless power concept &amp;ndash; and how large Tesla towers could unlock the secrets of natural lightning! </t>
  </si>
  <si>
    <r>
      <rPr>
        <sz val="11"/>
        <color indexed="8"/>
        <rFont val="Calibri"/>
        <family val="2"/>
      </rPr>
      <t>Guest:  &lt;b&gt;</t>
    </r>
    <r>
      <rPr>
        <b/>
        <sz val="11"/>
        <color indexed="8"/>
        <rFont val="Calibri"/>
        <family val="2"/>
      </rPr>
      <t>Greg&amp;nbsp;Leyh</t>
    </r>
    <r>
      <rPr>
        <sz val="11"/>
        <color indexed="8"/>
        <rFont val="Calibri"/>
        <family val="2"/>
      </rPr>
      <t>&lt;/b&gt;, Principal Engineer at Lightning on Demand</t>
    </r>
  </si>
  <si>
    <t>`</t>
  </si>
  <si>
    <t>SAE CEU Course:  EV Motor Design Analysis and Test Verification</t>
  </si>
  <si>
    <t>C1867-20-4</t>
  </si>
  <si>
    <t>Shanghai, China</t>
  </si>
  <si>
    <t>2020/04/13 – 14</t>
  </si>
  <si>
    <t>Surong-Huang.png    76 x 120</t>
  </si>
  <si>
    <t>&amp;hellip; discusses typical EV motor design cases and practical issues related to EV motor technology &amp;hellip;</t>
  </si>
  <si>
    <t>Instructor:  Surong Huang</t>
  </si>
  <si>
    <t>Full Fee:  $588  –  membership and multi-course discounts available</t>
  </si>
  <si>
    <t>1.3 CEUs</t>
  </si>
  <si>
    <t>SAE Learning Center</t>
  </si>
  <si>
    <t>https://www.sae.org/learn/professional-development</t>
  </si>
  <si>
    <t>Green Transportation Summit and Expo</t>
  </si>
  <si>
    <t>GT-Summit</t>
  </si>
  <si>
    <t>Tacoma, WA</t>
  </si>
  <si>
    <t>2020/04/13 – 15</t>
  </si>
  <si>
    <t>GT-Summit.png  173 x 173</t>
  </si>
  <si>
    <t>&amp;hellip; premier fleet modernization &amp;hellip; with a regional focus but using a national lens.</t>
  </si>
  <si>
    <t>2019/10/25</t>
  </si>
  <si>
    <t>Social Enterprises</t>
  </si>
  <si>
    <t>http://www.socialenterprises.net/</t>
  </si>
  <si>
    <t>TRB Free Webinar: Start your transportation research with TRID</t>
  </si>
  <si>
    <t>TRID</t>
  </si>
  <si>
    <t>2020/04/14   14:00 – 15:00 EDT</t>
  </si>
  <si>
    <t>McLeod-Ewoldsen.png  184 x 120</t>
  </si>
  <si>
    <t>TRID (part of the TRIS database) helps researchers locate solutions to problems, avoid duplication of work, and save resources.</t>
  </si>
  <si>
    <r>
      <rPr>
        <b/>
        <sz val="11"/>
        <color indexed="8"/>
        <rFont val="Calibri"/>
        <family val="2"/>
      </rPr>
      <t>Bill McLeod</t>
    </r>
    <r>
      <rPr>
        <sz val="11"/>
        <color indexed="8"/>
        <rFont val="Calibri"/>
        <family val="2"/>
      </rPr>
      <t>, TRB</t>
    </r>
  </si>
  <si>
    <t>Moderated by: Beth Ewoldsen, TRB</t>
  </si>
  <si>
    <t>Complementary Webinar: The Facts on Fuel Cell Electric Trucks – Part 1</t>
  </si>
  <si>
    <t>FCET-1</t>
  </si>
  <si>
    <t>2020/04/14  16:00 – 17:00 EDT</t>
  </si>
  <si>
    <t>FCET-1.png  397 x 120</t>
  </si>
  <si>
    <t>&amp;hellip; promising, pre-commercial data for FCETs, along with presentations from a heavy-duty truck OEM, and a real world FCET user.</t>
  </si>
  <si>
    <t>&lt;b&gt;Emanuel&amp;nbsp;Wagner&lt;/b&gt;, Deputy Director, California Hydrogen Business Council (CHBC)</t>
  </si>
  <si>
    <t>ACTnews Webinars</t>
  </si>
  <si>
    <r>
      <rPr>
        <sz val="11"/>
        <color indexed="8"/>
        <rFont val="Calibri"/>
        <family val="2"/>
      </rPr>
      <t>&lt;b&gt;</t>
    </r>
    <r>
      <rPr>
        <b/>
        <sz val="11"/>
        <color indexed="8"/>
        <rFont val="Calibri"/>
        <family val="2"/>
      </rPr>
      <t>Cory</t>
    </r>
    <r>
      <rPr>
        <sz val="11"/>
        <color indexed="8"/>
        <rFont val="Calibri"/>
        <family val="2"/>
      </rPr>
      <t>&amp;nbsp;</t>
    </r>
    <r>
      <rPr>
        <b/>
        <sz val="11"/>
        <color indexed="8"/>
        <rFont val="Calibri"/>
        <family val="2"/>
      </rPr>
      <t>Shumaker</t>
    </r>
    <r>
      <rPr>
        <sz val="11"/>
        <color indexed="8"/>
        <rFont val="Calibri"/>
        <family val="2"/>
      </rPr>
      <t>&lt;/b&gt;, Development Specialist, CHBC</t>
    </r>
  </si>
  <si>
    <r>
      <rPr>
        <sz val="11"/>
        <color indexed="8"/>
        <rFont val="Calibri"/>
        <family val="2"/>
      </rPr>
      <t>&lt;b&gt;</t>
    </r>
    <r>
      <rPr>
        <b/>
        <sz val="11"/>
        <color indexed="8"/>
        <rFont val="Calibri"/>
        <family val="2"/>
      </rPr>
      <t>Alan</t>
    </r>
    <r>
      <rPr>
        <sz val="11"/>
        <color indexed="8"/>
        <rFont val="Calibri"/>
        <family val="2"/>
      </rPr>
      <t>&amp;nbsp;</t>
    </r>
    <r>
      <rPr>
        <b/>
        <sz val="11"/>
        <color indexed="8"/>
        <rFont val="Calibri"/>
        <family val="2"/>
      </rPr>
      <t>Mace</t>
    </r>
    <r>
      <rPr>
        <sz val="11"/>
        <color indexed="8"/>
        <rFont val="Calibri"/>
        <family val="2"/>
      </rPr>
      <t>&lt;/b&gt;, HD Market Manager, Ballard</t>
    </r>
  </si>
  <si>
    <t>California Hydrogen Business Council (CHBC)</t>
  </si>
  <si>
    <r>
      <rPr>
        <sz val="11"/>
        <color indexed="8"/>
        <rFont val="Calibri"/>
        <family val="2"/>
      </rPr>
      <t>&lt;b&gt;</t>
    </r>
    <r>
      <rPr>
        <b/>
        <sz val="11"/>
        <color indexed="8"/>
        <rFont val="Calibri"/>
        <family val="2"/>
      </rPr>
      <t>Brian</t>
    </r>
    <r>
      <rPr>
        <sz val="11"/>
        <color indexed="8"/>
        <rFont val="Calibri"/>
        <family val="2"/>
      </rPr>
      <t>&amp;nbsp;</t>
    </r>
    <r>
      <rPr>
        <b/>
        <sz val="11"/>
        <color indexed="8"/>
        <rFont val="Calibri"/>
        <family val="2"/>
      </rPr>
      <t>Lindgren</t>
    </r>
    <r>
      <rPr>
        <sz val="11"/>
        <color indexed="8"/>
        <rFont val="Calibri"/>
        <family val="2"/>
      </rPr>
      <t>&lt;/b&gt;, Director &amp;ndash; Research &amp; Devel., Kenworth</t>
    </r>
  </si>
  <si>
    <r>
      <rPr>
        <sz val="11"/>
        <color indexed="8"/>
        <rFont val="Calibri"/>
        <family val="2"/>
      </rPr>
      <t>&lt;b&gt;</t>
    </r>
    <r>
      <rPr>
        <b/>
        <sz val="11"/>
        <color indexed="8"/>
        <rFont val="Calibri"/>
        <family val="2"/>
      </rPr>
      <t>Scott</t>
    </r>
    <r>
      <rPr>
        <sz val="11"/>
        <color indexed="8"/>
        <rFont val="Calibri"/>
        <family val="2"/>
      </rPr>
      <t>&amp;nbsp;</t>
    </r>
    <r>
      <rPr>
        <b/>
        <sz val="11"/>
        <color indexed="8"/>
        <rFont val="Calibri"/>
        <family val="2"/>
      </rPr>
      <t>Phillippi</t>
    </r>
    <r>
      <rPr>
        <sz val="11"/>
        <color indexed="8"/>
        <rFont val="Calibri"/>
        <family val="2"/>
      </rPr>
      <t>&lt;/b&gt;, Sr. Director, Autom. Maint. &amp; Eng., UPS</t>
    </r>
  </si>
  <si>
    <t>SAE CEU Course:  Fuel Cells for Transportation</t>
  </si>
  <si>
    <t>C1868-20-4</t>
  </si>
  <si>
    <t>2020/04/15 – 17</t>
  </si>
  <si>
    <t>John-Elter-Bin-Du.png          183 x 122</t>
  </si>
  <si>
    <t>&amp;hellip for engineers and particularly engineering managers who want to jump‐start their understanding of [fuel cells].</t>
  </si>
  <si>
    <t>Instructor:  Dr. John F. Elter</t>
  </si>
  <si>
    <t>Full Fee:  $1840  –  membership and multi-course discounts available</t>
  </si>
  <si>
    <t>2.0 CEUs</t>
  </si>
  <si>
    <t>Instructor:  Dr. Bin Du</t>
  </si>
  <si>
    <t>Free TESLA UNWIRED Webcast: Dr. Ryan Madigan, Boston Child Study Center</t>
  </si>
  <si>
    <t>Coping</t>
  </si>
  <si>
    <t>2020/04/16  14:00 EDT</t>
  </si>
  <si>
    <t>Ryan-Madigan.png  90 x 137</t>
  </si>
  <si>
    <t>&amp;hellip; complexities of [children] coping with challenging emotions amid the Covid-19 crisis.</t>
  </si>
  <si>
    <r>
      <rPr>
        <sz val="11"/>
        <color indexed="8"/>
        <rFont val="Calibri"/>
        <family val="2"/>
      </rPr>
      <t>Guest:  &lt;b&gt;</t>
    </r>
    <r>
      <rPr>
        <b/>
        <sz val="11"/>
        <color indexed="8"/>
        <rFont val="Calibri"/>
        <family val="2"/>
      </rPr>
      <t>Ryan</t>
    </r>
    <r>
      <rPr>
        <sz val="11"/>
        <color indexed="8"/>
        <rFont val="Calibri"/>
        <family val="2"/>
      </rPr>
      <t>&amp;nbsdp;</t>
    </r>
    <r>
      <rPr>
        <b/>
        <sz val="11"/>
        <color indexed="8"/>
        <rFont val="Calibri"/>
        <family val="2"/>
      </rPr>
      <t>Madigan</t>
    </r>
    <r>
      <rPr>
        <sz val="11"/>
        <color indexed="8"/>
        <rFont val="Calibri"/>
        <family val="2"/>
      </rPr>
      <t>&lt;/b&gt;, Boston Child Study Center</t>
    </r>
  </si>
  <si>
    <t>TRB Free Webinar:  Demanding Data &amp;ndash; Transactional data for demand-responsive transportation</t>
  </si>
  <si>
    <t>TransData</t>
  </si>
  <si>
    <t>2020/04/16   14:00 – 15:30  EDT</t>
  </si>
  <si>
    <t>Teal-King-Larsen-Becker.png     331 x 120</t>
  </si>
  <si>
    <t>&amp;hellip; to enable DRT (Demand-Responsive Transportation) services to more fully integrate among various mobility services.</t>
  </si>
  <si>
    <t>Roger Teal, DemandTrans Solutions</t>
  </si>
  <si>
    <t>mailto:RGillum@nas.edu</t>
  </si>
  <si>
    <t>Certification-Maintenance credits are available.  (See main link.)</t>
  </si>
  <si>
    <t>David King, Arizona State University</t>
  </si>
  <si>
    <r>
      <rPr>
        <b/>
        <sz val="11"/>
        <color indexed="59"/>
        <rFont val="Calibri"/>
        <family val="2"/>
      </rPr>
      <t>Niels Larsen</t>
    </r>
    <r>
      <rPr>
        <sz val="11"/>
        <color indexed="59"/>
        <rFont val="Calibri"/>
        <family val="2"/>
      </rPr>
      <t>, R2P Tracking</t>
    </r>
  </si>
  <si>
    <r>
      <rPr>
        <sz val="11"/>
        <color indexed="59"/>
        <rFont val="Calibri"/>
        <family val="2"/>
      </rPr>
      <t xml:space="preserve">Moderated by:  </t>
    </r>
    <r>
      <rPr>
        <b/>
        <sz val="11"/>
        <color indexed="59"/>
        <rFont val="Calibri"/>
        <family val="2"/>
      </rPr>
      <t>Jeff Becker</t>
    </r>
    <r>
      <rPr>
        <sz val="11"/>
        <color indexed="59"/>
        <rFont val="Calibri"/>
        <family val="2"/>
      </rPr>
      <t>, Regional Transportation District of Denver</t>
    </r>
  </si>
  <si>
    <t>SAE CEU Course: Overview of Highly Automated Vehicles</t>
  </si>
  <si>
    <t>C1933-20-4</t>
  </si>
  <si>
    <t>2020/04/18</t>
  </si>
  <si>
    <t>Jeffery-Blackburn.png  86 x 120</t>
  </si>
  <si>
    <t>You will have the rare opportunity to ride in a by-wire car provided by Dataspeed Inc., of Rochester Hills, MI and learn about self-driving technologies.</t>
  </si>
  <si>
    <t>Instructor:  Jeffery Blackburn</t>
  </si>
  <si>
    <t>Full Fee:  $835  –  membership and multi-course discounts available</t>
  </si>
  <si>
    <t>0.7 CEUs</t>
  </si>
  <si>
    <t>SAE CEU Course: Fundamentals and Applications of Electric Motors for Automotive Industries</t>
  </si>
  <si>
    <t>C1870-20-4</t>
  </si>
  <si>
    <t>Manoj-Shaw-2.png                 81 x 112</t>
  </si>
  <si>
    <t>&amp;hellip; the Tesla Model S has 62 electric machines while the Model X has 70! &amp;hellip; Their design must reflect the worst case operating scenarios, duty cycles, environment, &amp;hellip;, etc.</t>
  </si>
  <si>
    <t>Full Fee:  $835  –  membership and multi-course discounts availaible</t>
  </si>
  <si>
    <t>0.8 CEUs</t>
  </si>
  <si>
    <t>SAE CEU Course:  ADAS Application: Automatic Emergency Braking</t>
  </si>
  <si>
    <t>C1704-20-4</t>
  </si>
  <si>
    <t>Leaphart-Eldon.png         79 x 120</t>
  </si>
  <si>
    <t>Automatic Emergency Braking (AEB) is one ADAS application [by] nearly all automakers &amp;hellip;</t>
  </si>
  <si>
    <t>Instrtuctor:  Eldon Leaphart</t>
  </si>
  <si>
    <t>SAE CEU Course:  The Role of Connected and Autonomous Vehicles in Smart Cities</t>
  </si>
  <si>
    <t>C1912-20-4</t>
  </si>
  <si>
    <t>2020/04/18 – 19</t>
  </si>
  <si>
    <t>Robert-McQueen-B-W.png            74 x 120</t>
  </si>
  <si>
    <t>Instructor:  Robert McQueen</t>
  </si>
  <si>
    <t>SAE CEU Course:  Introduction to Brake Control Systems: ABS, TCS, and ESC</t>
  </si>
  <si>
    <t>C0315-20-4</t>
  </si>
  <si>
    <t>https://www.sae.org/learn/content/c0315/</t>
  </si>
  <si>
    <t>Troy, MI  ????</t>
  </si>
  <si>
    <t>2020/04/19 – 20  ????</t>
  </si>
  <si>
    <t>James-Walker-Jr.png              85 x 120</t>
  </si>
  <si>
    <t>&amp;hellip; electronic brake control systems are now required standard equipment on even the most inexpensive cars and trucks.</t>
  </si>
  <si>
    <t>Instructor:  James Walker, Jr.</t>
  </si>
  <si>
    <t>Full Fee:  $1,415  –  membership and multi-course discounts available</t>
  </si>
  <si>
    <t>Earth Power Day 2020</t>
  </si>
  <si>
    <t>Earth-Power-Day</t>
  </si>
  <si>
    <t>https://teslasciencecenter.org/events/earth-power-day-2020/</t>
  </si>
  <si>
    <t>Shoreham, LI, NY</t>
  </si>
  <si>
    <t>2020/04/19 10:00 – 14:00 (Sunday of Earth Week)</t>
  </si>
  <si>
    <t>Earth-Power-Day.png      117 x 115</t>
  </si>
  <si>
    <t>Learn what Long Island green energy innovators are doing to ensure a sustainable future.</t>
  </si>
  <si>
    <t>Adults:  $15</t>
  </si>
  <si>
    <t>Members:  $10</t>
  </si>
  <si>
    <t>Youth (ages 5-18):  $5</t>
  </si>
  <si>
    <t>Children (under5):  Free</t>
  </si>
  <si>
    <t>SAE CEU Course:  LIDAR and Infrared Cameras for ADAS and Autonomous Sensing</t>
  </si>
  <si>
    <t>C1896-20-4</t>
  </si>
  <si>
    <t>2020/04/19 – 20</t>
  </si>
  <si>
    <t>Rajeev-Thakur.png    105 x 158</t>
  </si>
  <si>
    <t>LIDAR and Infrared camera sensing are seeing a rapid growth &amp;hellip;  sensor requirements and system architecture options continue to evolve almost every six months.</t>
  </si>
  <si>
    <t>Full Fee:  $1,415</t>
  </si>
  <si>
    <t>SAE CEU Course:  Introduction to Radar for Automotive Applications</t>
  </si>
  <si>
    <t>C1627-20-4</t>
  </si>
  <si>
    <t>William-Buller-2.png            102 x 120</t>
  </si>
  <si>
    <t>&amp;hellip; how radars work and the trade offs that must be made to achieve its specified performance, focusing on applications to automotive safety and autonomy.</t>
  </si>
  <si>
    <t>Instructor:  William Buller</t>
  </si>
  <si>
    <t>Full Fee:  $1415 – membership and multi-course discounts available</t>
  </si>
  <si>
    <t>SAE CEU Course:  High Voltage Vehicle Safety Systems and Personal Protective Equipment (PPE)</t>
  </si>
  <si>
    <t>C1732-20-4</t>
  </si>
  <si>
    <t>Orlando, FL</t>
  </si>
  <si>
    <t>2020/04/20</t>
  </si>
  <si>
    <t>Mark-Quarto.png  136 x 165</t>
  </si>
  <si>
    <t>High voltage vehicle safety is a primary concern for [anyone] involved in developing, diagnosing or repairing hybrid or electric vehicles.</t>
  </si>
  <si>
    <t>2020 International Conference on Microwaves for Intelligent Mobility</t>
  </si>
  <si>
    <t>ICMIM</t>
  </si>
  <si>
    <t>Linz, Austria</t>
  </si>
  <si>
    <t>ICMIM-withName.png   170 x 55</t>
  </si>
  <si>
    <t>3-4 pages, .pdf, in English</t>
  </si>
  <si>
    <t>IEEE Intelligent Transportation Systems Society</t>
  </si>
  <si>
    <t>https://www.ieee-itss.org/</t>
  </si>
  <si>
    <t>IEEE Microwave Theory and Techniques Society (MTT-S)</t>
  </si>
  <si>
    <t>2020 IEEE International Systems Conference (SysCon 2020)</t>
  </si>
  <si>
    <t>SYSCON</t>
  </si>
  <si>
    <t>Montr&amp;eacute;al, Qu&amp;eacute;bec, Canada</t>
  </si>
  <si>
    <t>2020/04/20 – 23 to October?</t>
  </si>
  <si>
    <t>Montreal.png    145 x 121</t>
  </si>
  <si>
    <t>System-level thinking is essential &amp;hellip; not only for technical systems, but also for society at large.</t>
  </si>
  <si>
    <t>https://2020.ieeesyscon.org/pages/call-papers</t>
  </si>
  <si>
    <t>Special Session Submission Deadline:</t>
  </si>
  <si>
    <t>2019/09/27         (extended from 08/10)</t>
  </si>
  <si>
    <t>IEEE Systems Council</t>
  </si>
  <si>
    <t>Abstracts and Full Papers Deadline:</t>
  </si>
  <si>
    <t>InterTraffic Amsterdam</t>
  </si>
  <si>
    <t>InterTraffic-Amsterdam</t>
  </si>
  <si>
    <t>Amsterdam, the Netherlands</t>
  </si>
  <si>
    <t>2020/04/21 - 24</t>
  </si>
  <si>
    <t>Amsterdam-Traffic.png    165 x 91</t>
  </si>
  <si>
    <t>Experience the latest solutions for today's and tomorrow’s challenges with all the experts in the field.</t>
  </si>
  <si>
    <t>https://www.intertraffic.com/contact/</t>
  </si>
  <si>
    <t>InterTraffic</t>
  </si>
  <si>
    <t>https://www.intertraffic.com/</t>
  </si>
  <si>
    <t>Complementary Webinar: The Facts on Fuel Cell Electric Trucks – Part 2</t>
  </si>
  <si>
    <t>FCET-2</t>
  </si>
  <si>
    <t>2020/04/21  16:00 – 17:00 EDT</t>
  </si>
  <si>
    <t>FCET-2.png  366 x 120</t>
  </si>
  <si>
    <t>Where does a fleet begin when implementing hydrogen-powered FCETs and what resources are available for funding this new technology?</t>
  </si>
  <si>
    <t>&lt;b&gt;Jeff&amp;nbsp;Seger&lt;/b&gt;, Exec. Dir., Growth Office &amp; New Acquisitions, Cummins</t>
  </si>
  <si>
    <r>
      <rPr>
        <sz val="11"/>
        <color indexed="8"/>
        <rFont val="Calibri"/>
        <family val="2"/>
      </rPr>
      <t>&lt;b&gt;</t>
    </r>
    <r>
      <rPr>
        <b/>
        <sz val="11"/>
        <color indexed="8"/>
        <rFont val="Calibri"/>
        <family val="2"/>
      </rPr>
      <t>Leslie</t>
    </r>
    <r>
      <rPr>
        <sz val="11"/>
        <color indexed="8"/>
        <rFont val="Calibri"/>
        <family val="2"/>
      </rPr>
      <t>&amp;nbsp;</t>
    </r>
    <r>
      <rPr>
        <b/>
        <sz val="11"/>
        <color indexed="8"/>
        <rFont val="Calibri"/>
        <family val="2"/>
      </rPr>
      <t>Goodbody</t>
    </r>
    <r>
      <rPr>
        <sz val="11"/>
        <color indexed="8"/>
        <rFont val="Calibri"/>
        <family val="2"/>
      </rPr>
      <t>&lt;/b&gt;, Heavy-Duty ZEV Infrastructure Specialist, California Air Resources Board (CARB)</t>
    </r>
  </si>
  <si>
    <r>
      <rPr>
        <sz val="11"/>
        <color indexed="8"/>
        <rFont val="Calibri"/>
        <family val="2"/>
      </rPr>
      <t>&lt;b&gt;</t>
    </r>
    <r>
      <rPr>
        <b/>
        <sz val="11"/>
        <color indexed="8"/>
        <rFont val="Calibri"/>
        <family val="2"/>
      </rPr>
      <t>Tony</t>
    </r>
    <r>
      <rPr>
        <sz val="11"/>
        <color indexed="8"/>
        <rFont val="Calibri"/>
        <family val="2"/>
      </rPr>
      <t>&amp;nbsp;</t>
    </r>
    <r>
      <rPr>
        <b/>
        <sz val="11"/>
        <color indexed="8"/>
        <rFont val="Calibri"/>
        <family val="2"/>
      </rPr>
      <t>Williamson</t>
    </r>
    <r>
      <rPr>
        <sz val="11"/>
        <color indexed="8"/>
        <rFont val="Calibri"/>
        <family val="2"/>
      </rPr>
      <t>&lt;/b&gt;, Director, Compliance &amp; Sustainability, TTSI</t>
    </r>
  </si>
  <si>
    <t>SAE CEU Course:  Introduction to Hybrid and Electric Vehicle Battery Systems</t>
  </si>
  <si>
    <t>C0626-20-4</t>
  </si>
  <si>
    <t>Troy, MI</t>
  </si>
  <si>
    <t>2020/04/21 – 22</t>
  </si>
  <si>
    <t>Erik-Spek.png   119 x 132</t>
  </si>
  <si>
    <t>&amp;hellip; introduces [the role of batteries in] hybrid vehicles &amp;hellip; .</t>
  </si>
  <si>
    <t>Instructor:  Erik Spek</t>
  </si>
  <si>
    <t>SAE 2020 World Congress Experience</t>
  </si>
  <si>
    <t>WCX</t>
  </si>
  <si>
    <t>2020/04/21 – 23</t>
  </si>
  <si>
    <t>WCX-20.png    160 x 125</t>
  </si>
  <si>
    <t>&amp;hellip; keep up with groundbreaking advances &amp;hellip;</t>
  </si>
  <si>
    <t>2019/09/17</t>
  </si>
  <si>
    <t>Free Webinar:  How to enhance battery pack protection with dual-stage venting</t>
  </si>
  <si>
    <t>Venting</t>
  </si>
  <si>
    <t>2020/04/22  10:00 EDT</t>
  </si>
  <si>
    <t>Sanders-Begine.png   165 x 120</t>
  </si>
  <si>
    <r>
      <rPr>
        <sz val="11"/>
        <color indexed="8"/>
        <rFont val="Calibri"/>
        <family val="2"/>
      </rPr>
      <t>&lt;b&gt;</t>
    </r>
    <r>
      <rPr>
        <b/>
        <sz val="11"/>
        <color indexed="8"/>
        <rFont val="Calibri"/>
        <family val="2"/>
      </rPr>
      <t>Jake</t>
    </r>
    <r>
      <rPr>
        <sz val="11"/>
        <color indexed="8"/>
        <rFont val="Calibri"/>
        <family val="2"/>
      </rPr>
      <t>&amp;nbsp;</t>
    </r>
    <r>
      <rPr>
        <b/>
        <sz val="11"/>
        <color indexed="8"/>
        <rFont val="Calibri"/>
        <family val="2"/>
      </rPr>
      <t>Sanders</t>
    </r>
    <r>
      <rPr>
        <sz val="11"/>
        <color indexed="8"/>
        <rFont val="Calibri"/>
        <family val="2"/>
      </rPr>
      <t>&lt;/b&gt;, Engineering Manager, Venting Solutions, Donaldson Company</t>
    </r>
  </si>
  <si>
    <t>Donaldson Filtration Solutions</t>
  </si>
  <si>
    <t>https://www.donaldson.com/en-us/</t>
  </si>
  <si>
    <r>
      <rPr>
        <sz val="11"/>
        <color indexed="8"/>
        <rFont val="Calibri"/>
        <family val="2"/>
      </rPr>
      <t>&lt;b&gt;</t>
    </r>
    <r>
      <rPr>
        <b/>
        <sz val="11"/>
        <color indexed="8"/>
        <rFont val="Calibri"/>
        <family val="2"/>
      </rPr>
      <t>Johan</t>
    </r>
    <r>
      <rPr>
        <sz val="11"/>
        <color indexed="8"/>
        <rFont val="Calibri"/>
        <family val="2"/>
      </rPr>
      <t>&amp;nbsp;</t>
    </r>
    <r>
      <rPr>
        <b/>
        <sz val="11"/>
        <color indexed="8"/>
        <rFont val="Calibri"/>
        <family val="2"/>
      </rPr>
      <t>Begine</t>
    </r>
    <r>
      <rPr>
        <sz val="11"/>
        <color indexed="8"/>
        <rFont val="Calibri"/>
        <family val="2"/>
      </rPr>
      <t>&lt;/b&gt;, Area Sales Manager, Venting Solutions, Donaldson Company</t>
    </r>
  </si>
  <si>
    <t>TRB Webinar: Greener in many ways: Environmentally sustainable funding and financing</t>
  </si>
  <si>
    <t>Greener</t>
  </si>
  <si>
    <t>2020/04/22 14:00 – 16:00 EDT</t>
  </si>
  <si>
    <t>Higgins-Moosavi-Arroyo-Zuchorski-Macek.png    459 x 120</t>
  </si>
  <si>
    <t>Environmental sustainability and transportation funding/financing intersect in more than one way.</t>
  </si>
  <si>
    <r>
      <rPr>
        <b/>
        <sz val="11"/>
        <color indexed="8"/>
        <rFont val="Calibri"/>
        <family val="2"/>
      </rPr>
      <t>Rebecca Higgins</t>
    </r>
    <r>
      <rPr>
        <sz val="11"/>
        <color indexed="8"/>
        <rFont val="Calibri"/>
        <family val="2"/>
      </rPr>
      <t>, U.S. Senate Committee on Environment &amp; Public Works</t>
    </r>
  </si>
  <si>
    <t>$95 fee for some people
2 Certification Maintenance Credits for those who qualify</t>
  </si>
  <si>
    <r>
      <rPr>
        <b/>
        <sz val="11"/>
        <color indexed="8"/>
        <rFont val="Calibri"/>
        <family val="2"/>
      </rPr>
      <t>Darwin Moosavi</t>
    </r>
    <r>
      <rPr>
        <sz val="11"/>
        <color indexed="8"/>
        <rFont val="Calibri"/>
        <family val="2"/>
      </rPr>
      <t>, Calstate Trans Agency</t>
    </r>
  </si>
  <si>
    <r>
      <rPr>
        <b/>
        <sz val="11"/>
        <color indexed="8"/>
        <rFont val="Calibri"/>
        <family val="2"/>
      </rPr>
      <t>Vicki Arroyo</t>
    </r>
    <r>
      <rPr>
        <sz val="11"/>
        <color indexed="8"/>
        <rFont val="Calibri"/>
        <family val="2"/>
      </rPr>
      <t>, Georgetown University Climate Center</t>
    </r>
  </si>
  <si>
    <r>
      <rPr>
        <b/>
        <sz val="11"/>
        <color indexed="8"/>
        <rFont val="Calibri"/>
        <family val="2"/>
      </rPr>
      <t>Scott Zuchorski</t>
    </r>
    <r>
      <rPr>
        <sz val="11"/>
        <color indexed="8"/>
        <rFont val="Calibri"/>
        <family val="2"/>
      </rPr>
      <t>, Fitch Ratings</t>
    </r>
  </si>
  <si>
    <r>
      <rPr>
        <b/>
        <sz val="11"/>
        <color indexed="8"/>
        <rFont val="Calibri"/>
        <family val="2"/>
      </rPr>
      <t>Nathan Macek</t>
    </r>
    <r>
      <rPr>
        <sz val="11"/>
        <color indexed="8"/>
        <rFont val="Calibri"/>
        <family val="2"/>
      </rPr>
      <t>, WSP</t>
    </r>
  </si>
  <si>
    <t>SAE CEU Course:  Intelligent Vehicles: From Functional Framework to Vehicle Architecture</t>
  </si>
  <si>
    <t>C1615-20-4</t>
  </si>
  <si>
    <t>2020/04/22 – 23</t>
  </si>
  <si>
    <t>Chengliang-Yin-1.png        79 x 120</t>
  </si>
  <si>
    <t xml:space="preserve">&amp;hellip; gain an understanding of the growing variety of intelligent vehicle technologies and how they must function together effectively as a system. </t>
  </si>
  <si>
    <t>Instructor:  Chengliang Yin</t>
  </si>
  <si>
    <t>Full Fee:  $588 – membership and multi-course discounts available</t>
  </si>
  <si>
    <t>Planet Electric</t>
  </si>
  <si>
    <t>Nordic</t>
  </si>
  <si>
    <t>Oslo, Norway</t>
  </si>
  <si>
    <t>2020/04/23 – 24 moved to October?</t>
  </si>
  <si>
    <t>Nordic-EV.png  111 x 161</t>
  </si>
  <si>
    <t>Entering the Electric Era</t>
  </si>
  <si>
    <t>Montreal Electric Vehicle Show (Electric and Plug-In Hybrid Vehicle Show)</t>
  </si>
  <si>
    <t>MEVS</t>
  </si>
  <si>
    <t>2020/04/24 – 26</t>
  </si>
  <si>
    <t>MonElevVehShow.png              183 x 88</t>
  </si>
  <si>
    <t>Three days opportunity to see, test, analyze and compare</t>
  </si>
  <si>
    <t>Electric Mobility Canada</t>
  </si>
  <si>
    <t>Transportation Camp Unconference</t>
  </si>
  <si>
    <t>T-Camp-PHL</t>
  </si>
  <si>
    <t>Virtual Cyberspace</t>
  </si>
  <si>
    <t>2020/04/25</t>
  </si>
  <si>
    <t>Transp-Camp.png      626 x 203</t>
  </si>
  <si>
    <t>&amp;hellip; we welcome you &amp;hellip; for a day filled with ideas at the intersection of transportation, technology, and urbanism.</t>
  </si>
  <si>
    <t>YES</t>
  </si>
  <si>
    <t>EV V&amp;Eacute; 2020 Conference and Trade Show</t>
  </si>
  <si>
    <t>EV-2020-VE</t>
  </si>
  <si>
    <t>Mississauga, Ontario, Canada</t>
  </si>
  <si>
    <t>2020/04/27 – 30</t>
  </si>
  <si>
    <t>EV-VE.png         139 x 53</t>
  </si>
  <si>
    <t>Accelerating Adoption: Light, Medium and Heavy Duty.</t>
  </si>
  <si>
    <t>Includes Press Conf. &amp; Media Ride-and-Drive 10:00 – 11:00</t>
  </si>
  <si>
    <t>2019/05/06  11:00 – 18:00</t>
  </si>
  <si>
    <t>TRA 2020 – Transport Research Arena – Rethinking transport</t>
  </si>
  <si>
    <t>TRA</t>
  </si>
  <si>
    <t>Helsinki, Finland</t>
  </si>
  <si>
    <t>TRA2-shift.png  237 x 119</t>
  </si>
  <si>
    <t>Rethinking transport &amp;ndash; towards clean and inclusive mobility</t>
  </si>
  <si>
    <t>Conference Track</t>
  </si>
  <si>
    <t>2019/06/30 (final), extended from 05/31 and 04/30</t>
  </si>
  <si>
    <t>Journal Track</t>
  </si>
  <si>
    <t>2019/06/16 (final), extended from 05/31 and 04/30</t>
  </si>
  <si>
    <t>2019/10/01</t>
  </si>
  <si>
    <t>Electric &amp; Hybrid Vehicle Technology Expo Europe</t>
  </si>
  <si>
    <t>EVTech-Europe</t>
  </si>
  <si>
    <t>Stuttgart, Germany</t>
  </si>
  <si>
    <t>EHVTX.png    342 x 177</t>
  </si>
  <si>
    <t>Transforming Transportation a Second Time</t>
  </si>
  <si>
    <t>colocated with next</t>
  </si>
  <si>
    <t>Battery Show Europe 2020</t>
  </si>
  <si>
    <t>BatteryShow-Eu</t>
  </si>
  <si>
    <t>BatteryShow-Eu20.png    322 x 70</t>
  </si>
  <si>
    <t>Transforming the World with Power</t>
  </si>
  <si>
    <t>colocated with previous</t>
  </si>
  <si>
    <t>The 7&lt;sup&gt;th&lt;/sup&gt; International Electric Vehicle Expo</t>
  </si>
  <si>
    <t>IEVE</t>
  </si>
  <si>
    <t>Jeju, Korea</t>
  </si>
  <si>
    <t>2020/04/29 – 05/02</t>
  </si>
  <si>
    <t>IEVE.png          240 x  124</t>
  </si>
  <si>
    <t>The New Definition e-Mobility</t>
  </si>
  <si>
    <t>(Postponed)</t>
  </si>
  <si>
    <t>tel : 064-702-1580</t>
  </si>
  <si>
    <t>fax : 064-702-1576</t>
  </si>
  <si>
    <t>Tower to the People Film Screening</t>
  </si>
  <si>
    <t>2020/04/29  19:30 – 21:30  EDT</t>
  </si>
  <si>
    <t>Join us for this very special tribute to honor the life and work of one of history&amp;rsquo;s greatest minds, Nikola Tesla.</t>
  </si>
  <si>
    <t>Public:  $17</t>
  </si>
  <si>
    <t>Members:  $12</t>
  </si>
  <si>
    <t>Special Session: 2020/05/01 13:00 – 14:00 EDT</t>
  </si>
  <si>
    <t>Tesla-STEAM-Camp-2.png     115 x 128</t>
  </si>
  <si>
    <t>&amp;hellip; an online environment that&amp;rsquo;s educational, fun, and motivating.</t>
  </si>
  <si>
    <t>Free</t>
  </si>
  <si>
    <t>Wardenclyffe 7&lt;sup&gt;th&lt;/sup&gt; Anniversary Celebration</t>
  </si>
  <si>
    <t>Tesla-7th</t>
  </si>
  <si>
    <t>Online</t>
  </si>
  <si>
    <t>2020/05/01 – 03</t>
  </si>
  <si>
    <t>Tesla-Anniv.png     145 x 109</t>
  </si>
  <si>
    <t>You&amp;rsquo;re invited to an electrifying weekend of FREE online events for all!</t>
  </si>
  <si>
    <t>Virtual VOLUNTEER Happy Hour!
2020/05/01  17:00 – 18:00 EDT</t>
  </si>
  <si>
    <t>https://teslasciencecenter.org/events/</t>
  </si>
  <si>
    <t>Wardenclyffe Anniversary Show
2020/05/02  13:00 – 14:00 EDT</t>
  </si>
  <si>
    <t>Tesla STEAM Trivia Game
2020/05/03  13:00 – 14:00 EDT</t>
  </si>
  <si>
    <t>6&lt;sup&gt;th&lt;/sup&gt; International Conference on Vehicle Technology and Intelligent Transportation Systems (VEHITS 2020)</t>
  </si>
  <si>
    <t>VEHITS</t>
  </si>
  <si>
    <t>Prague, Czech Republic</t>
  </si>
  <si>
    <t>2020/05/02 – 04</t>
  </si>
  <si>
    <t>VEHITS.png   198 x 45</t>
  </si>
  <si>
    <t>&amp;hellip; innovative applications, tools and platforms &amp;hellip;</t>
  </si>
  <si>
    <t>Online Streaming will be Available</t>
  </si>
  <si>
    <t>Position papers (work-in-progress and speculative ideas)</t>
  </si>
  <si>
    <t>2020/02/05 extended from 01/29</t>
  </si>
  <si>
    <t>SAE CEU Course:  Introduction to Highly Automated Vehicles</t>
  </si>
  <si>
    <t>C1603-20-5</t>
  </si>
  <si>
    <t>Live, Online</t>
  </si>
  <si>
    <t>2020/05/05 – 08</t>
  </si>
  <si>
    <t>[&amp;hellp; the trend in traffic deaths has been downward for the past decade, most of this reduction has been the result of optimizing &amp;hellip; occupant crash protection systems &amp;hellip; ]ADAS now offer the potential to significantly reduce or eliminate most vehicle crashes by &amp;hellip; taking action to avoid or mitigate the crash.</t>
  </si>
  <si>
    <t>Fee:  $1200</t>
  </si>
  <si>
    <t>&lt;strike&gt;Chicago, IL&lt;/strike&gt; Virtual&amp;nbsp;Cyberspace</t>
  </si>
  <si>
    <t>2020/05/05 – 06</t>
  </si>
  <si>
    <t>Free Webinar:  Essentials of SBIR/STTR Commercialization</t>
  </si>
  <si>
    <t>2020/05/06        14:00 – 15:30</t>
  </si>
  <si>
    <t>A credible commercialization strategy not only helps you evaluate your customers and market, it is critical to garnering the attention of funding sources, &amp;hellip;.</t>
  </si>
  <si>
    <t>Webinar Leader:  &lt;b&gt;Shannon&amp;nbsp;Bass&lt;/b&gt;, Principal Consultant, BBC</t>
  </si>
  <si>
    <t>Free Webinar:  Thermal and EMI shielding materials for automotive electronics</t>
  </si>
  <si>
    <t>Shielding</t>
  </si>
  <si>
    <t>2020/05/06  14:00 – 15:00  EDT</t>
  </si>
  <si>
    <t>Wilken-Grossmann.png     173 x 120</t>
  </si>
  <si>
    <t>Protecting automotive electronics from high temperatures and electromagnetic interference to improve the performance &amp;hellip;.</t>
  </si>
  <si>
    <t>Dr. &lt;b&gt;Karen&amp;nbsp;Wilken&lt;/b&gt;, Application Development Engineer, at Momentive Performance Materials</t>
  </si>
  <si>
    <t>&lt;b&gt;Matthias&amp;nbsp;Grossmann&lt;/b&gt;, Global Market Segment Leader Automotive &amp; Power Electronics, at Momentive Performance Materials</t>
  </si>
  <si>
    <t>2020/03/20 – 05/06  Wednesdays only 14:30 – 15:30 EDT</t>
  </si>
  <si>
    <t>Advanced Clean Transportation (ACT) Expo</t>
  </si>
  <si>
    <t>ACTexpo</t>
  </si>
  <si>
    <t>http://www.actexpo.com/</t>
  </si>
  <si>
    <t>Long Beach, CA</t>
  </si>
  <si>
    <t>2020/05/11 – 14</t>
  </si>
  <si>
    <t>ActExpo-Triangle.png   199 x 194</t>
  </si>
  <si>
    <t>Discover the wide range of alternative fuel and clean vehicle technologies.</t>
  </si>
  <si>
    <t>https://www.actexpo.com/contact</t>
  </si>
  <si>
    <t>2019/11/30 (extended from 10/31)</t>
  </si>
  <si>
    <t>Electric Drive Transportation Association (EDTA)</t>
  </si>
  <si>
    <t>http://electricdrive.org/</t>
  </si>
  <si>
    <t>Networking tour:  2019/04/22</t>
  </si>
  <si>
    <t>Exhibition: 2020/05/12 – 13</t>
  </si>
  <si>
    <t>3&lt;sup&gt;rd&lt;/sup&gt; Annual AltCar Expo &amp; Conference</t>
  </si>
  <si>
    <t>AltCarExpoSac</t>
  </si>
  <si>
    <t>2018/05/09</t>
  </si>
  <si>
    <t>AltCarExpo-Sacremento-LD.png           137 x 77</t>
  </si>
  <si>
    <t>[Platia Productions]</t>
  </si>
  <si>
    <t>310-390-2930</t>
  </si>
  <si>
    <t>Professional Conference</t>
  </si>
  <si>
    <t>Series link:</t>
  </si>
  <si>
    <t>Join Mailing List</t>
  </si>
  <si>
    <t>Expo (free)</t>
  </si>
  <si>
    <t>Ride And Drive (Free)</t>
  </si>
  <si>
    <t>SAE CEU Course:  Analysis and Design of Hybrid Transmission Systems</t>
  </si>
  <si>
    <t>C2006-20-5</t>
  </si>
  <si>
    <t xml:space="preserve">Shanghai, China </t>
  </si>
  <si>
    <t>2020/05/13 – 14</t>
  </si>
  <si>
    <t>Zhihui-Duan.png         84 x 124</t>
  </si>
  <si>
    <t>&amp;hellip; to help engineers build ability for hybrid transmission development, hybrid system design, and hybrid vehicle powertrain integration.</t>
  </si>
  <si>
    <t>Instructor:  Zhihui Duan</t>
  </si>
  <si>
    <t>(Removed)</t>
  </si>
  <si>
    <t>Fee:  $588</t>
  </si>
  <si>
    <t>14&lt;sup&gt;th&lt;/sup&gt; ITS European Congress</t>
  </si>
  <si>
    <t>ITS-Europe</t>
  </si>
  <si>
    <t>Lisbon, Portugal</t>
  </si>
  <si>
    <t>2020/05/18 – 20</t>
  </si>
  <si>
    <t>ITS-Color.png   127 x 140</t>
  </si>
  <si>
    <t>ITS: The Game Changer</t>
  </si>
  <si>
    <t>2019/12/16</t>
  </si>
  <si>
    <t>Ertico – ITS-Europe</t>
  </si>
  <si>
    <t>.doc Template:  https://itseuropeancongress.com/wp-content/uploads/2019/09/Lisbon-2020-Paper-Template-new.doc</t>
  </si>
  <si>
    <t>Free Webinar:  Create Successful Strategies for EV Incentive Programs</t>
  </si>
  <si>
    <t>Incentive</t>
  </si>
  <si>
    <t>2020/05/19  16:00 – 17:00 EDT</t>
  </si>
  <si>
    <t>Murali-Imge-Anderson-Wheeler.png    348 x 120</t>
  </si>
  <si>
    <t>Electric vehicle (EV) incentive programs not only increase market penetration of EVs, but also work as catalysts to accelerate market transformation.</t>
  </si>
  <si>
    <r>
      <rPr>
        <sz val="11"/>
        <color indexed="8"/>
        <rFont val="Calibri"/>
        <family val="2"/>
      </rPr>
      <t>&lt;b&gt;</t>
    </r>
    <r>
      <rPr>
        <b/>
        <sz val="11"/>
        <color indexed="8"/>
        <rFont val="Calibri"/>
        <family val="2"/>
      </rPr>
      <t>Raghav</t>
    </r>
    <r>
      <rPr>
        <sz val="11"/>
        <color indexed="8"/>
        <rFont val="Calibri"/>
        <family val="2"/>
      </rPr>
      <t>&amp;nbsp;</t>
    </r>
    <r>
      <rPr>
        <b/>
        <sz val="11"/>
        <color indexed="8"/>
        <rFont val="Calibri"/>
        <family val="2"/>
      </rPr>
      <t>Murali</t>
    </r>
    <r>
      <rPr>
        <sz val="11"/>
        <color indexed="8"/>
        <rFont val="Calibri"/>
        <family val="2"/>
      </rPr>
      <t>&lt;/b&gt;, Senior Director of Policy and General Counsel</t>
    </r>
  </si>
  <si>
    <r>
      <rPr>
        <sz val="11"/>
        <color indexed="8"/>
        <rFont val="Calibri"/>
        <family val="2"/>
      </rPr>
      <t>&lt;b&gt;</t>
    </r>
    <r>
      <rPr>
        <b/>
        <sz val="11"/>
        <color indexed="8"/>
        <rFont val="Calibri"/>
        <family val="2"/>
      </rPr>
      <t>Jesse</t>
    </r>
    <r>
      <rPr>
        <sz val="11"/>
        <color indexed="8"/>
        <rFont val="Calibri"/>
        <family val="2"/>
      </rPr>
      <t>&amp;nbsp;</t>
    </r>
    <r>
      <rPr>
        <b/>
        <sz val="11"/>
        <color indexed="8"/>
        <rFont val="Calibri"/>
        <family val="2"/>
      </rPr>
      <t>Emge</t>
    </r>
    <r>
      <rPr>
        <sz val="11"/>
        <color indexed="8"/>
        <rFont val="Calibri"/>
        <family val="2"/>
      </rPr>
      <t>&lt;/b&gt;, Interim Director, Transparency &amp; Insights</t>
    </r>
  </si>
  <si>
    <r>
      <rPr>
        <sz val="11"/>
        <color indexed="8"/>
        <rFont val="Calibri"/>
        <family val="2"/>
      </rPr>
      <t>&lt;b&gt;</t>
    </r>
    <r>
      <rPr>
        <b/>
        <sz val="11"/>
        <color indexed="8"/>
        <rFont val="Calibri"/>
        <family val="2"/>
      </rPr>
      <t>John</t>
    </r>
    <r>
      <rPr>
        <sz val="11"/>
        <color indexed="8"/>
        <rFont val="Calibri"/>
        <family val="2"/>
      </rPr>
      <t>&amp;nbsp;</t>
    </r>
    <r>
      <rPr>
        <b/>
        <sz val="11"/>
        <color indexed="8"/>
        <rFont val="Calibri"/>
        <family val="2"/>
      </rPr>
      <t>Anderson</t>
    </r>
    <r>
      <rPr>
        <sz val="11"/>
        <color indexed="8"/>
        <rFont val="Calibri"/>
        <family val="2"/>
      </rPr>
      <t>&lt;/b&gt;, Senior Specialist, Transparency &amp; Insights</t>
    </r>
  </si>
  <si>
    <r>
      <rPr>
        <sz val="11"/>
        <color indexed="8"/>
        <rFont val="Calibri"/>
        <family val="2"/>
      </rPr>
      <t>&lt;b&gt;</t>
    </r>
    <r>
      <rPr>
        <b/>
        <sz val="11"/>
        <color indexed="8"/>
        <rFont val="Calibri"/>
        <family val="2"/>
      </rPr>
      <t>Becks</t>
    </r>
    <r>
      <rPr>
        <sz val="11"/>
        <color indexed="8"/>
        <rFont val="Calibri"/>
        <family val="2"/>
      </rPr>
      <t>&amp;nbsp;</t>
    </r>
    <r>
      <rPr>
        <b/>
        <sz val="11"/>
        <color indexed="8"/>
        <rFont val="Calibri"/>
        <family val="2"/>
      </rPr>
      <t>Wheeler</t>
    </r>
    <r>
      <rPr>
        <sz val="11"/>
        <color indexed="8"/>
        <rFont val="Calibri"/>
        <family val="2"/>
      </rPr>
      <t>&lt;/b&gt;, Director, Marketing &amp; Communications</t>
    </r>
  </si>
  <si>
    <t>Free Webinar:  Energy Storage Applications – Front-of-the-Meter and Behind-the-Meter Perspective</t>
  </si>
  <si>
    <t>FtM-BtM</t>
  </si>
  <si>
    <t>2020/05/20 10:00 – 11:00 EDT</t>
  </si>
  <si>
    <t>Debmalya-Sen.png          85 x 120</t>
  </si>
  <si>
    <t>&amp;hellip; energy storage is now well acknowledged and known by the energy sector.</t>
  </si>
  <si>
    <t>presented by:  &lt;b&gt;Debmalya&amp;nbsp;Sen&lt;/b&gt; &amp;ndash; Senior Consultant, Emerging Technologies at CES (Customized Energy Solutions)</t>
  </si>
  <si>
    <t>escar USA</t>
  </si>
  <si>
    <t>escar</t>
  </si>
  <si>
    <t>Plymouth, MI</t>
  </si>
  <si>
    <t>2020/05/20 – 21</t>
  </si>
  <si>
    <t>escar.png    130 x 135</t>
  </si>
  <si>
    <t>Strengthening the Mobility Industry&amp;rsquo;s Cybersecurity Posture</t>
  </si>
  <si>
    <t>Cancelled</t>
  </si>
  <si>
    <t>2020/03/01</t>
  </si>
  <si>
    <t>Quebec Electric Vehicle Show</t>
  </si>
  <si>
    <t>QEVS</t>
  </si>
  <si>
    <t>Qu&amp;eacute;bec City, Qu&amp;eacute;bec, Canada</t>
  </si>
  <si>
    <t>2020/05/22 – 24</t>
  </si>
  <si>
    <t>QueElevVehShow.png              183 x 88</t>
  </si>
  <si>
    <t>17&lt;sup&gt;th&lt;/sup&gt; ITS Asia Pacific Forum 2020 &amp;ndash; Brisbane</t>
  </si>
  <si>
    <t>ITS-AP-2020</t>
  </si>
  <si>
    <t>Brisbane, Queensland, Australia</t>
  </si>
  <si>
    <t>2020/05/25 – 28   postponed until 2021</t>
  </si>
  <si>
    <t>AP-2020-LessText.png    424 x 412</t>
  </si>
  <si>
    <t>ITS Innovation Creating Liveable Communities</t>
  </si>
  <si>
    <t>ITS Australia</t>
  </si>
  <si>
    <t>IEEE 91&lt;sup&gt;st&lt;/sup&gt; Vehicular Technology Conference</t>
  </si>
  <si>
    <t>VTC-Spring; VTC2020-Spring</t>
  </si>
  <si>
    <t>&lt;strike&gt;Antwerp, Belgium&lt;/strike&gt; &lt;i&gt;Virtual&amp;nbsp;Cyberspace&lt;/i&gt;</t>
  </si>
  <si>
    <t>2020/05/25 – 28</t>
  </si>
  <si>
    <t>VTC-logo.png     153 x 161</t>
  </si>
  <si>
    <t>&amp;hellip; exchange ideas in the fields of wireless, mobile, and vehicular technology.</t>
  </si>
  <si>
    <t>2019/10/31     (extended from 09/30 and 09/15)</t>
  </si>
  <si>
    <t>IEEE Vehicular Technology Society</t>
  </si>
  <si>
    <t>https://vtsociety.org/</t>
  </si>
  <si>
    <t>Yes, due to Student Travel Grant</t>
  </si>
  <si>
    <t>Recent Results Submission</t>
  </si>
  <si>
    <t>2020/02/03 firm, extended from 01/20</t>
  </si>
  <si>
    <t>Start/End Date of Conference?</t>
  </si>
  <si>
    <t>Free TESLA UNWIRED Webcast:  Voyage to the International Space Station</t>
  </si>
  <si>
    <t>Voyage-ISS</t>
  </si>
  <si>
    <t>2020/05/26 11:30 – 12:30 EDT</t>
  </si>
  <si>
    <t>Gregory-Olsen.png   128 x 144</t>
  </si>
  <si>
    <t>Dr. Gregory Olsen &amp;hellip; will show footage of his voyage and talk about the different experiments that he participated in &amp;hellip; .</t>
  </si>
  <si>
    <t>featuring &lt;b&gt;Gregory&amp;nbsp;Hammond&amp;nbsp;Olsen&lt;/b&gt;, Ph.D.</t>
  </si>
  <si>
    <t>Usually 13:00 – 14:00 ET</t>
  </si>
  <si>
    <t>$5 Members;
$10 non-members</t>
  </si>
  <si>
    <t>DOT Opens Funding Opportunity for [Four more] University Transportation Centers</t>
  </si>
  <si>
    <t>More-UTCs</t>
  </si>
  <si>
    <t>2020/05/29</t>
  </si>
  <si>
    <t>UTC-2020.png  223 x 200</t>
  </si>
  <si>
    <t>DOT announced &amp;hellip; on March 30 that is meant to establish four new University Transportation Centers &amp;hellip;</t>
  </si>
  <si>
    <t>Letter of Intent</t>
  </si>
  <si>
    <t>Due 2020/04/29</t>
  </si>
  <si>
    <t>\nOnly nonprofit higher education institutions are allowed, &amp;hellip; may include eligible two-year colleges &amp;hellip;.</t>
  </si>
  <si>
    <t>Application</t>
  </si>
  <si>
    <t>Smart Battery Energy Management and Health Conscious Fast Charging for Future Transport</t>
  </si>
  <si>
    <t>Smart-Charging</t>
  </si>
  <si>
    <t>2020/06/02  10:00 – 11:30  EDT</t>
  </si>
  <si>
    <t>Sheldon-S-Williamson.png   78 x 120</t>
  </si>
  <si>
    <t>&amp;hellip; will also introduce a first-of-its-kind closed-loop cell charge (voltage) balancing and extreme fast charging technique.</t>
  </si>
  <si>
    <t>&lt;br&gt;Sheldon&amp;nbsp;S.&amp;nbsp;Williamson&lt;/br&gt;, Professor, University of Ontario-Institute of Technology (UOIT)</t>
  </si>
  <si>
    <t>The TU-Automotive Awards 2020</t>
  </si>
  <si>
    <t>TU-AWARDS</t>
  </si>
  <si>
    <t>Novi, MI</t>
  </si>
  <si>
    <t>2020/06/02</t>
  </si>
  <si>
    <t>&amp;hellip; prestigious and anticipated awards celebrate &amp;hellip; automotive technology &amp;hellip;</t>
  </si>
  <si>
    <t>Nominations open 2020/01/22</t>
  </si>
  <si>
    <t>TU-Automotive Detroit 20</t>
  </si>
  <si>
    <t>TU-AUTO</t>
  </si>
  <si>
    <t>2020/06/03 – 04</t>
  </si>
  <si>
    <t>SCS-Novi-MI.png         158 x 112</t>
  </si>
  <si>
    <t>Connected, Autonomous, Shared, Electric.</t>
  </si>
  <si>
    <t>Apply to Speak</t>
  </si>
  <si>
    <t>2019/12/06</t>
  </si>
  <si>
    <t>AEC Launch event (Webinar): Will the COVID-19 crisis open the door to a more ambitious zero emissions transport agenda (sic)?</t>
  </si>
  <si>
    <t>AEC-Webinar</t>
  </si>
  <si>
    <t>2020/06/03  10:00 – 11:30 CEST</t>
  </si>
  <si>
    <t>AEC-2020-notext.png   291 x 79</t>
  </si>
  <si>
    <t>&amp;hellip; address how we can ensure the economic recovery is coupled with green solutions that help address climate change &amp;hellip;</t>
  </si>
  <si>
    <t>Webinar:  B-SCIENCE.NET: Solid-State Li-Ion Batteries – Key Technology Approaches &amp; Time-to-Market</t>
  </si>
  <si>
    <t>SS-Li-Ion</t>
  </si>
  <si>
    <t>2020/06/03 10:00 – 11:00 EDT</t>
  </si>
  <si>
    <t>Pirmin-Ulmann.png      93 x 120</t>
  </si>
  <si>
    <t>&amp;hellip; why hybrid battery packs or cells based on both liquid and solid electrolytes could potentially accelerate the automotive adoption of solid-state batteries.</t>
  </si>
  <si>
    <t>presented by:  Dr.&amp;nbsp;&lt;b&gt;Pirmin&amp;nbsp;Ulmann&lt;/b&gt; &amp;ndash; Co&amp;#8209;Founder &amp; CEO, B&amp;#8209;Science.net</t>
  </si>
  <si>
    <t>Fee:  $99</t>
  </si>
  <si>
    <t>AutoDrive Challenge&amp;trade; (Student Competition)</t>
  </si>
  <si>
    <t>AutoDrive</t>
  </si>
  <si>
    <t>East Liberty, OH</t>
  </si>
  <si>
    <t>2020/06/08 – 14</t>
  </si>
  <si>
    <t>AutoDrive-2020.png  196 x 135</t>
  </si>
  <si>
    <t>This &amp;hellip; competition will task students to develop and demonstrate a full autonomous driving passenger vehicle.</t>
  </si>
  <si>
    <t>https://www.sae.org/attend/student-events/</t>
  </si>
  <si>
    <t>Prof. / Student</t>
  </si>
  <si>
    <t>aabc</t>
  </si>
  <si>
    <t>San Francisco, CA</t>
  </si>
  <si>
    <t>2020/06/08 – 11</t>
  </si>
  <si>
    <t>Shaping the Future of Vehicle Electrification</t>
  </si>
  <si>
    <t xml:space="preserve">Brochure Request (simple):  https://www.advancedautobat.com/downloads/2020-brochure-download-form </t>
  </si>
  <si>
    <t>2019/12/02 (for priority consideration)</t>
  </si>
  <si>
    <t>https://www.advancedautobat.com/</t>
  </si>
  <si>
    <t>Maybe?</t>
  </si>
  <si>
    <t>IEEE-TEC Free Webinar:  Energy Storage and Electric Vehicle Technology</t>
  </si>
  <si>
    <t>Storage</t>
  </si>
  <si>
    <t>2020/06/09  12:00 – 13:30 EDT</t>
  </si>
  <si>
    <t>Ka-Eric-Cheng.png      87 x 120</t>
  </si>
  <si>
    <t>The use of energy cells to integrate with the vehicle body has been reported and suggests good potential for energy management.</t>
  </si>
  <si>
    <t>presented by Prof. &lt;b&gt;Ka&amp;nbsp;Eric&amp;nbsp;Cheng&lt;/b&gt;, The Hong Kong Polytechnic University</t>
  </si>
  <si>
    <t>IEEE Transportation Electrification</t>
  </si>
  <si>
    <t>Technical Visit:  2019/11/18</t>
  </si>
  <si>
    <t>VIVA Technology (Hosting Event)</t>
  </si>
  <si>
    <t>2020/06/11 – 13</t>
  </si>
  <si>
    <t>VIVA-simple.png    87 x 28</t>
  </si>
  <si>
    <t>No-charge webcast:&amp;nbsp; Connected and Automated Vehicle Meet-Up: Vehicle Connectivity Towards The 5G Era</t>
  </si>
  <si>
    <t>Veh-Connectivity</t>
  </si>
  <si>
    <t>2020/06/10  10:00 EDT</t>
  </si>
  <si>
    <t>Singer-Goswami-Ronn.png    262 x 120</t>
  </si>
  <si>
    <t>Separating the hype from the reality of the evolution and the interrelation of the four pillars—autonomous, connectivity, electrification and services (ACES)</t>
  </si>
  <si>
    <t>&lt;b&gt;Eran&amp;nbsp;Singer&lt;/b&gt;  Business Development Manager, Spotam</t>
  </si>
  <si>
    <t>SAE Meetups</t>
  </si>
  <si>
    <t>&lt;b&gt;Partha&amp;nbsp;Goswami&lt;/b&gt;, Technology Trends &amp; Insights, General Motors</t>
  </si>
  <si>
    <t>&lt;b&gt;Israel&amp;nbsp;Ronn&lt;/b&gt;, President, Spotam</t>
  </si>
  <si>
    <t>Free Webinar:  NRC Advanced Transportation Systems Program (ATSP) Overview</t>
  </si>
  <si>
    <t>ATSP</t>
  </si>
  <si>
    <t>2020/06/10  13:30 – 14:30 EDT</t>
  </si>
  <si>
    <t>William-Mayda.png    85 x 120</t>
  </si>
  <si>
    <t>&amp;hellip; a comprehensive overview and examples of the NRC at work in Canada.</t>
  </si>
  <si>
    <t>&lt;b&gt;William&amp;nbsp;Mayda&lt;/b&gt;, Program Lead, National Research Council of Canada (NRC)</t>
  </si>
  <si>
    <t>Intelligent Transportation Systems Society of Canada</t>
  </si>
  <si>
    <t>National Research Council of Canada</t>
  </si>
  <si>
    <t>2020/06/12 – 14 (Postponed from 04/24 – 26)</t>
  </si>
  <si>
    <t>EVS33 &amp;ndash; International Electric Vehicle Symposium &amp; Exhibition</t>
  </si>
  <si>
    <t>EVS33</t>
  </si>
  <si>
    <t>Portland, OR</t>
  </si>
  <si>
    <t>2020/06/14 – 17</t>
  </si>
  <si>
    <t>EVS33.png       152 x 120</t>
  </si>
  <si>
    <t>Electrify.  Innovate.  Mobilize.</t>
  </si>
  <si>
    <t>2019/11/05 (extended from 10/18)</t>
  </si>
  <si>
    <t>[Public /] Prof.</t>
  </si>
  <si>
    <t>Maybe ??  (Ask)</t>
  </si>
  <si>
    <t>Exhibitor&amp;rsquo;s info:  https://events.myconferencesuite.com/Electric_Vehicles_Symposium/reg/landing</t>
  </si>
  <si>
    <t>ITS Canada 2020 (Save the Date)</t>
  </si>
  <si>
    <t>ITS-Canada-2020</t>
  </si>
  <si>
    <t>Edmonton, AB, Canada</t>
  </si>
  <si>
    <t>ITS-Canada-2020.png    230 x 105</t>
  </si>
  <si>
    <t>Postponed</t>
  </si>
  <si>
    <t>Autonomous Vehicle Technology World Expo 2020</t>
  </si>
  <si>
    <t>AVT-Ger</t>
  </si>
  <si>
    <t>2020/06/16 – 18  Postponed by about a year</t>
  </si>
  <si>
    <t>AVT-Ger-2020.png         285 x 100</t>
  </si>
  <si>
    <t>From the latest ADAS technologies to full autonomy</t>
  </si>
  <si>
    <t>Autonomous Vehicle Technology World Conference 2020</t>
  </si>
  <si>
    <t>Developing an autonomous vehicle?&amp;nbsp; This is the conference you should attend!</t>
  </si>
  <si>
    <t>Conference Track 1:  AI, Sensors, and Sensor Fusion</t>
  </si>
  <si>
    <t>Prof,</t>
  </si>
  <si>
    <t>Conference Track 2:  Test &amp; Development</t>
  </si>
  <si>
    <t>Automotive Testing Expo 2020 Europe</t>
  </si>
  <si>
    <t>Sprint for STEAM: 5k Virtual Run/Walk/Roll for Virtual Education</t>
  </si>
  <si>
    <t>Sprint</t>
  </si>
  <si>
    <t>2020/06/11 – 07/31 (extended from 07/11)</t>
  </si>
  <si>
    <t>Sprint-for-STEAM.png   189 x 138</t>
  </si>
  <si>
    <t>Free Webinar:  DC Fast Charging is a Thermal Challenge &amp;ndash; Vehicle-Side Thermal Equation</t>
  </si>
  <si>
    <t>DC-Fast-Charging</t>
  </si>
  <si>
    <t>2020/06/16  14:00 – 15:00  EDT</t>
  </si>
  <si>
    <t>Jeremy-C-Patterson.png   91 x 120</t>
  </si>
  <si>
    <t>&amp;hellip; looks at the basic elements of the typical thermal interfaces that link the DC fast charging inlet to the vehicle battery &amp;hellip;.</t>
  </si>
  <si>
    <t>&lt;b&gt;Jeremy&amp;nbsp;C.&amp;nbsp;Patterson&lt;/b&gt;, Director Engineering, Hybrid &amp; Electric Mobility Solutions, Automotive, TE Connectivity</t>
  </si>
  <si>
    <t>WCX Digital Summit</t>
  </si>
  <si>
    <t>WCX; WCXDS20</t>
  </si>
  <si>
    <t>2020/06/16 – 18</t>
  </si>
  <si>
    <t>Join mobility&amp;rsquo;s leading innovators for one incredible online event</t>
  </si>
  <si>
    <t>Presentations of content of April&amp;rsquo;s cancelled conference.</t>
  </si>
  <si>
    <t>C1603-20-6</t>
  </si>
  <si>
    <t>2020/06/16 – 17
Probably cancelled</t>
  </si>
  <si>
    <t>Full Fee:  $1415  –  membership and multi-course discounts available</t>
  </si>
  <si>
    <t>2020/06/17 – 20 (Postponed from 04/29 – 05/02)</t>
  </si>
  <si>
    <t>Retrofit</t>
  </si>
  <si>
    <t>2020/06/17  08:00 – 09:30 EDT</t>
  </si>
  <si>
    <t>AVERE-webinar.png    204 x 102</t>
  </si>
  <si>
    <t>Retrofitting fossil fuel cars into electric vehicles is a growing market that provides an alternative to the purchase of an EV and can contribute significantly to the mass uptake of electromobility.</t>
  </si>
  <si>
    <t>&lt;b&gt;Andreas&amp;nbsp;Hager&lt;/b&gt;, CEO of e&amp;#8209;troFit GmbH</t>
  </si>
  <si>
    <t>International Exhibition for Charging Infrastructure and e-Mobility</t>
  </si>
  <si>
    <t>IEC-EM</t>
  </si>
  <si>
    <t>Munich, Bavaria, Germany</t>
  </si>
  <si>
    <t>2020/06/17 – 19</t>
  </si>
  <si>
    <t>Power-2-Drive-Europe.bmp    172 x 102</t>
  </si>
  <si>
    <t>Charging the future of mobility!</t>
  </si>
  <si>
    <t>Postponed for a year</t>
  </si>
  <si>
    <t>InterTraffic China</t>
  </si>
  <si>
    <t>InterTraffic-China</t>
  </si>
  <si>
    <t>Beijing, China</t>
  </si>
  <si>
    <t>2020/06/18 – 20</t>
  </si>
  <si>
    <t>Beijing-Traffic.png    130 x 121</t>
  </si>
  <si>
    <t>&amp;hellip;  the very latest trends and developments from the traffic technology industry in Asia.</t>
  </si>
  <si>
    <t>Electric Vehicles Virtual Lunch &amp; Learn</t>
  </si>
  <si>
    <t>Virtual-L-and-L</t>
  </si>
  <si>
    <t>2020/06/18  11:30 – 12:30 EDT</t>
  </si>
  <si>
    <t>Chris-Philp.png  84 x 120</t>
  </si>
  <si>
    <t>&lt;b&gt;Chris&amp;nbsp;Philp&lt;/b&gt;, Associate Partner at CIMA+</t>
  </si>
  <si>
    <t>$30 for non-members;  members free</t>
  </si>
  <si>
    <t>Free TESLA UNWIRED Webcast:  The Power of Play</t>
  </si>
  <si>
    <t>Power-of-Play</t>
  </si>
  <si>
    <t>2020/06/18 13:30 – 14:30 EDT</t>
  </si>
  <si>
    <t>John-Cohn-poster.png   165 x 120</t>
  </si>
  <si>
    <t>Dr. [John] Cohn will share how curious misbehavior and playfulness, as well as a willingness to embrace mistakes, can lead to breakthroughs and innovation.</t>
  </si>
  <si>
    <t>featuring &lt;b&gt;John&amp;nbsp;Cohn&lt;/b&gt;, Ph.D.</t>
  </si>
  <si>
    <t>SAE CEU Course:  A Primer on Regulations and Liability Considerations for Highly-Automated Vehicles (HAVs)</t>
  </si>
  <si>
    <t>c1893-20-6</t>
  </si>
  <si>
    <t>2020/06/18  Probably cancelled</t>
  </si>
  <si>
    <t>Potential regulations surrounding the development, testing and commercial launch of Highly Automated Vehicles &amp;hellip; are fluid and changing areas &amp;hellip;</t>
  </si>
  <si>
    <t>Current-War</t>
  </si>
  <si>
    <t>2020/06/20  20:15 – 22:50</t>
  </si>
  <si>
    <t>The-Current-War.png       149 x 84</t>
  </si>
  <si>
    <t>$50 Premium;  $40 Standard</t>
  </si>
  <si>
    <t>Rain Date:  2020/06/21</t>
  </si>
  <si>
    <t>SAE CEU Course:  Hybrid and Electric Vehicle Engineering Academy</t>
  </si>
  <si>
    <t>2020/06/22 – 26 Probably cancelled</t>
  </si>
  <si>
    <t>acad06-V.png   359 x 242</t>
  </si>
  <si>
    <t>&amp;hellip; covers hybrid and electric vehicle engineering concepts, theory, and applications [that] apply primarily to the passenger car industry.</t>
  </si>
  <si>
    <t>Saeed Siavoshani, Davide Andrea, Gary Baker, Richard Byczek, Gene Liao, Manoj Shah, and Robert Spotnitz</t>
  </si>
  <si>
    <t>Full Fee:  $3,550  –  membership and multi-course discounts available</t>
  </si>
  <si>
    <t>3.8 CEUs</t>
  </si>
  <si>
    <t>Seven instructors</t>
  </si>
  <si>
    <t>SAE CEU Course:  LIDAR for ADAS and Autonomous Sensing</t>
  </si>
  <si>
    <t>C1935-20-6</t>
  </si>
  <si>
    <t>2020/06/22 &amp; 26</t>
  </si>
  <si>
    <t>&amp;hellip; provide the foundation on which to build LIDAR technologies in automotive applications.</t>
  </si>
  <si>
    <t>Full Fee:  $825;  Special fee of $710 for this session only;  Addt’l discount for groups of 5 or more</t>
  </si>
  <si>
    <t>ITEC</t>
  </si>
  <si>
    <t>2020/06/23 – 26  (Start date changed from 06/24, to 6/22, to 6/23)</t>
  </si>
  <si>
    <t>ITEC.png            184 x 75</t>
  </si>
  <si>
    <t>&amp;hellip; a large industry exhibition focused on &amp;hellip; all types of electrified vehicles and transportation systems &amp;hellip;</t>
  </si>
  <si>
    <t>More details:  https://itec-conf.com/conference/?mkt_tok=eyJpIjoiTXpJNE1tUmpaREl6TVRaaSIsInQiOiJHMEw1cnhKK3p0RTA0YXBhQ2dkOEl4elVneUdpMVQ5aWQzUkdZUnhaYWFnRXVqdVwvYW1va2JkU2oydEhXQWhIcHBTQXhDNFpUTUxOTnhjY0gySW9FdExadHhqSjRCQTd3cjZWSEgyTm93TmFXZ3lMUzF4VmtQMklVRFNsY0p3REQifQ%3D%3D</t>
  </si>
  <si>
    <t>1)  Must present paper
2)  Membership requirements
3)  Fill out forms
4)  Get paid afterwards</t>
  </si>
  <si>
    <t>Electric Vehicle Summit 2020 (Save the Date)</t>
  </si>
  <si>
    <t>EV-Summit</t>
  </si>
  <si>
    <t>Oxford, England, UK</t>
  </si>
  <si>
    <t>2020/06/23 – 24</t>
  </si>
  <si>
    <t>EV-Summit-2020.png        111 x 128</t>
  </si>
  <si>
    <t>Accelerating the Shift to Electric Vehicles</t>
  </si>
  <si>
    <t>Free Webinar:&amp;nbsp; Preparing for an EV Fleet:&amp;nbsp; Calculating Total Cost of Ownership</t>
  </si>
  <si>
    <t>Fleet-Ownership</t>
  </si>
  <si>
    <t>2020/06/23  13:00 PDT (16:00 EDT)</t>
  </si>
  <si>
    <t>Kunesh-Chase-Kahout.png    231 x 120</t>
  </si>
  <si>
    <t>&lt;b&gt;Dean&amp;nbsp;Kunesh&lt;/b&gt;, EV Fleet Specialist, PG&amp;E</t>
  </si>
  <si>
    <t>https://www.act-news.com/webinars/</t>
  </si>
  <si>
    <t>&lt;b&gt;Nick&amp;nbsp;Chase&lt;/b&gt;, Asset &amp; Administration Manager, Bolthouse Farms</t>
  </si>
  <si>
    <t>&lt;b&gt;Jarrod&amp;nbsp;Kohout&lt;/b&gt;, Project Director, GNA</t>
  </si>
  <si>
    <t>IV2020</t>
  </si>
  <si>
    <t>2020/06/23 – 26</t>
  </si>
  <si>
    <t>IV2020.png   182 x 57</t>
  </si>
  <si>
    <t>&amp;hellip;&amp;nbsp;the latest advances in theory and technology related to  intelligent vehicles</t>
  </si>
  <si>
    <t>2019/11/20</t>
  </si>
  <si>
    <t>Las-Vegas.png  174 x 125</t>
  </si>
  <si>
    <t>2020/02/01 (No extensions)</t>
  </si>
  <si>
    <t>2020/03/14</t>
  </si>
  <si>
    <t>TRAIL International PhD Summer School 2020</t>
  </si>
  <si>
    <t>TRAIL</t>
  </si>
  <si>
    <t>Delft, Netherlands</t>
  </si>
  <si>
    <t>2020/06/24 – 26</t>
  </si>
  <si>
    <t>Trail.png      180 x 74</t>
  </si>
  <si>
    <t>&amp;hellip; for national and international PhD-students that are either performing research in the domain of automated driving or are interested in exploring this topic for their research.</t>
  </si>
  <si>
    <t>Course managers: Prof. Bart van Arem &amp; Dr. Goncalo Correia</t>
  </si>
  <si>
    <t>2020/05/01</t>
  </si>
  <si>
    <t>Student</t>
  </si>
  <si>
    <t>C1868-20-6</t>
  </si>
  <si>
    <t>Apparently Cancelled – may be revived at a later date.</t>
  </si>
  <si>
    <t>Free Webinar:  VOLTAIQ: Battery Intelligence in Action – How to Launch an EV</t>
  </si>
  <si>
    <t>Launch-EV</t>
  </si>
  <si>
    <t>2020/06/24 10:00 – 11:00 EDT</t>
  </si>
  <si>
    <t>Tal-Sholklapper.png    89 x 120</t>
  </si>
  <si>
    <t>This webinar will &amp;hellip; highlight how an integrated Battery Intelligence platform can &amp;hellip; ensure quality and traceability,&amp;hellip;</t>
  </si>
  <si>
    <t>presented by:  Dr.&amp;nbsp;&lt;b&gt;Tal&amp;nbsp;Sholklapper&lt;/b&gt; &amp;ndash; CEO at Voltaiq</t>
  </si>
  <si>
    <t>Free Webinar:&amp;nbsp; Keep the Power On: Developing an Energy Resiliency Plan For Your EV Fleet</t>
  </si>
  <si>
    <t>Power-On</t>
  </si>
  <si>
    <t>2020/06/25 13:00 PDT (16:00 EDT)</t>
  </si>
  <si>
    <t>Oneill-Merkel-Belasco.png   233 x 120</t>
  </si>
  <si>
    <t>&lt;b&gt;Tim&amp;nbsp;O&amp;rsquo;Neill&lt;/b&gt;, EV Fleet Specialist, PG&amp;E</t>
  </si>
  <si>
    <t>&lt;b&gt;Justin&amp;nbsp;Merkel&lt;/b&gt;,  Sr. Distribution Engineer, HDR Inc.</t>
  </si>
  <si>
    <t>&lt;b&gt;Matthew&amp;nbsp;Belasco&lt;/b&gt;, Dir. of Maintenance, Operations, and Transp.,  Pittsburg Unif. Sch. Dist.</t>
  </si>
  <si>
    <t>Forum on Integrated and Sustainable Transportation Systems (FISTS)</t>
  </si>
  <si>
    <t>FISTS; ISTS</t>
  </si>
  <si>
    <t>Tutorials:  2020/06/29</t>
  </si>
  <si>
    <t>Delft-Skyline.png     287 x 111</t>
  </si>
  <si>
    <t>2019/12/15</t>
  </si>
  <si>
    <t>2020/06/30 – 07/02</t>
  </si>
  <si>
    <t>2019/11/27</t>
  </si>
  <si>
    <t>TechConnect Conference and Expo</t>
  </si>
  <si>
    <t>National Harbor, MD</t>
  </si>
  <si>
    <t>2020/06/29 – 07/01</t>
  </si>
  <si>
    <t>TechConnect.png    358 x 68</t>
  </si>
  <si>
    <t xml:space="preserve">Learn how to compete for funding, and create successful commercialization strategies and partnerships. </t>
  </si>
  <si>
    <t>postponed</t>
  </si>
  <si>
    <t>Abstracts due 2020/01/31 (extended from 01/24 and 2019/12/13)</t>
  </si>
  <si>
    <t>\n&lt;font size=2&gt;&lt;i&gt;&amp;ldquo;&amp;hellip;&amp;nbsp;they provide us the opportunity to meet top innovators &amp;hellip; all in one location.&amp;rdquo; &amp;mdash; Lockheed Martin&lt;/i&gt;&lt;/font&gt;</t>
  </si>
  <si>
    <t>Submissions due:  2020/02/28 (extended from 2019/12/13); also 03/27 for new SBIR awards announced in March</t>
  </si>
  <si>
    <t>2020/03/20</t>
  </si>
  <si>
    <t>SBIR / STTR Spring Innovation Conference</t>
  </si>
  <si>
    <t>Submissions due 2020/02/28 (extended from 2019/12/13)</t>
  </si>
  <si>
    <t>DTC Spring Conference and Expo</t>
  </si>
  <si>
    <t>Accelerating Private-Sector Innovation into Defense Application.</t>
  </si>
  <si>
    <t>2019/02/01, extended from 01/25</t>
  </si>
  <si>
    <t>Expo</t>
  </si>
  <si>
    <t>2019/06/17 – 18</t>
  </si>
  <si>
    <t>&amp;hellip; largest expo built specifically for the global innovation community.</t>
  </si>
  <si>
    <t xml:space="preserve">Student Leaders Conference </t>
  </si>
  <si>
    <t>&amp;hellip; brings together undergraduate nano and emerging technologies student group representatives &amp;hellip;</t>
  </si>
  <si>
    <t>2019/03/08 (extended from 02/15)</t>
  </si>
  <si>
    <t>SAE CEU Course:  Infrared Camera for ADAS and Autonomous Sensing</t>
  </si>
  <si>
    <t>C1934-20-6</t>
  </si>
  <si>
    <t>2020/06/29 – 30</t>
  </si>
  <si>
    <t>&amp;hellip; provide the foundation on which to build near infrared camera technologies for automotive applications.</t>
  </si>
  <si>
    <t>Wireless Charging for Autonomous Electrified Micro-mobility Devices:  A Real-world Solution for Smart Cities to be Pandemic&amp;#8209;ready</t>
  </si>
  <si>
    <t>Wireless-Charging</t>
  </si>
  <si>
    <t>2020/06/30 10:00 – 11:30  EDT</t>
  </si>
  <si>
    <t>&amp;hellip; will present innovative solutions to these issues in the form of completely autonomous, weatherproof, wireless rapid recharging.</t>
  </si>
  <si>
    <t>AltCar Virtual Statewide Webinar</t>
  </si>
  <si>
    <t>AltCar-Webinar</t>
  </si>
  <si>
    <t>California</t>
  </si>
  <si>
    <t>2020/06/30  13:00 PDT (16:00 EDT)</t>
  </si>
  <si>
    <t>AltCar-SaveDate.png   200 x 201</t>
  </si>
  <si>
    <t>&amp;hellip; very latest information on moving forward with alternate-technology transportation during this challanging time.</t>
  </si>
  <si>
    <t>mailto:info@altcarexpo.com</t>
  </si>
  <si>
    <t>http://www.altcarexpo.com/</t>
  </si>
  <si>
    <t>http://www.altcarexponorcal.com/join-mailing-list</t>
  </si>
  <si>
    <t>Tesla Summer STEAM Camp</t>
  </si>
  <si>
    <t>STEAM-Camp</t>
  </si>
  <si>
    <t>STEAM-Camp-Summer.png     113 x 103</t>
  </si>
  <si>
    <t>Mon-Wed-Fri
11:00 – 12:00 EDT  Meet, connect, explore!
15:00 – 16:00 EDT  Share, discuss, learn!</t>
  </si>
  <si>
    <t>Maker Adventure Week
Ages 5 – 11</t>
  </si>
  <si>
    <t>Members:  $40
Regular:  $50</t>
  </si>
  <si>
    <t>Entrepreneur Camp
Ages 5 – 11</t>
  </si>
  <si>
    <t>Mon to Fri    15:30 – 17:30 EDT
Both weeks</t>
  </si>
  <si>
    <t>TEEN Python Camp
Ages 12 – 18</t>
  </si>
  <si>
    <t>Members:  $100
Regular:  $125</t>
  </si>
  <si>
    <t>YOUTH Coding Camp
Ages 5 – 11</t>
  </si>
  <si>
    <t xml:space="preserve">Members:  $74
Regular:  $90 </t>
  </si>
  <si>
    <t>Green Energy Camp
Ages 5 – 11</t>
  </si>
  <si>
    <t>Members:  $90
Regular:  $75</t>
  </si>
  <si>
    <t>CO&lt;sub&gt;2&lt;/sub&gt; Reduction for Transportation Systems Conference</t>
  </si>
  <si>
    <t>CO2-Reduc-Conf</t>
  </si>
  <si>
    <t>Turin, Italy</t>
  </si>
  <si>
    <t>2020/07/07 – 08</t>
  </si>
  <si>
    <t>CO2-Reduc-Conf.png      170 x 128</t>
  </si>
  <si>
    <t>&amp;hellip; powertrain efficiency enhancement and &amp;hellip; vehicle energy demand reduction.</t>
  </si>
  <si>
    <t>2020/02/02</t>
  </si>
  <si>
    <t>Free Webinar:  Conductive Charging of Electrified Vehicles:  Challenges and Opportunities</t>
  </si>
  <si>
    <t>Conductive-Charging</t>
  </si>
  <si>
    <t>2020/07/08  08:00 – 09:00 EDT</t>
  </si>
  <si>
    <t>Haoyu-Wang.png     81 x 120</t>
  </si>
  <si>
    <t>&amp;hellip; an extensive overview of the conductive charging technology of PEV from the perspective of a power electronics professional.</t>
  </si>
  <si>
    <r>
      <rPr>
        <sz val="11"/>
        <color indexed="8"/>
        <rFont val="Calibri"/>
        <family val="2"/>
      </rPr>
      <t xml:space="preserve">Presented by: </t>
    </r>
    <r>
      <rPr>
        <b/>
        <sz val="11"/>
        <color indexed="8"/>
        <rFont val="Calibri"/>
        <family val="2"/>
      </rPr>
      <t xml:space="preserve"> Dr. Haoyu Wang</t>
    </r>
    <r>
      <rPr>
        <sz val="11"/>
        <color indexed="8"/>
        <rFont val="Calibri"/>
        <family val="2"/>
      </rPr>
      <t>, director of Power Electronics And Renewable Energies Lab (PEARL), Shanghai Tech University</t>
    </r>
  </si>
  <si>
    <t>SAE CEU Course:  Introduction to Automotive Cybersecurity</t>
  </si>
  <si>
    <t>C1911-20-7</t>
  </si>
  <si>
    <t>2020/07/10</t>
  </si>
  <si>
    <t>Wu-Jun.png    77 x 120</t>
  </si>
  <si>
    <t>Instructor:  Wu Jun (or Jun Wu)</t>
  </si>
  <si>
    <t>Full Fee:  $294</t>
  </si>
  <si>
    <t>Tesla Birthday Bash! 2020</t>
  </si>
  <si>
    <t>Tesla-Bday</t>
  </si>
  <si>
    <t>Shoreham, LI, NY and online</t>
  </si>
  <si>
    <t>2020/07/11  20:00 – 22:30 EDT</t>
  </si>
  <si>
    <t>IFC-TESLA-2020.png     289 x 105</t>
  </si>
  <si>
    <t>Tesla Science Center at Wardenclyffe Proudly Presents an IFC Films Production: TESLA</t>
  </si>
  <si>
    <t>Drive-In:  $150 per car</t>
  </si>
  <si>
    <t>20:00 EDT</t>
  </si>
  <si>
    <t>Lightning on Demand Livestream with Greg Leyh, builder of the world’s largest Tesla coils (Free with sep. reg.)</t>
  </si>
  <si>
    <t>Live-Stream:  $100</t>
  </si>
  <si>
    <t>20:30 EDT</t>
  </si>
  <si>
    <t>ArcAttack! Livestream &amp;mdash; dazzling musical spectacle featuring Tesla coils, electric guitars, and stunning visuals!   (Free with sep. reg.)</t>
  </si>
  <si>
    <t>22:30 EDT</t>
  </si>
  <si>
    <t>Q&amp;A Livestream with Actors Ethan Hawke &amp; Kyle MacLachlan Director Michael Almereyda</t>
  </si>
  <si>
    <t>Pre-Movie Livestreams free with separate registration</t>
  </si>
  <si>
    <t>SAE CyberAuto Challenge&amp;trade;</t>
  </si>
  <si>
    <t>CyberAuto</t>
  </si>
  <si>
    <t>Warren, MI</t>
  </si>
  <si>
    <t>2020/07/12 – 16</t>
  </si>
  <si>
    <t>CyberAuto-2020-short.png     205 x 141</t>
  </si>
  <si>
    <t>&amp;hellip; brings aspiring students to participate in hands-on experiences and learn from the best &amp;hellip; in order to advance the next generation of cyber security specialists</t>
  </si>
  <si>
    <t>TRB Webinar: Accelerating Automated Vehicle Acceptance</t>
  </si>
  <si>
    <t>Accelerating-Acceptance</t>
  </si>
  <si>
    <t>2020/07/14 13:00 – 15:00 EDT</t>
  </si>
  <si>
    <t>Lee-Shuman-Gold2-Harkey-Jones3.png    466 x 120</t>
  </si>
  <si>
    <t>To accelerate automated vehicle (AV) technology deployment, practitioners must set, measure, and monitor key AV safety and performance goals.</t>
  </si>
  <si>
    <t>Free Webinar:&amp;nbsp; Micro-Mobility: Now the Safe Alternative?</t>
  </si>
  <si>
    <t>Micro-Mobility</t>
  </si>
  <si>
    <t>2020/07/15  09:00 – 10:30 EDT (15:00 – 16:30 CEST)</t>
  </si>
  <si>
    <t>Galal-Raptis-Vitorino-Tzandaki.png  332 x 120</t>
  </si>
  <si>
    <t>&amp;hellip; micro-mobility is seen as the potentially safer and more secure [transport] alternative &amp;hellip; in our cities.</t>
  </si>
  <si>
    <r>
      <rPr>
        <sz val="11"/>
        <color indexed="8"/>
        <rFont val="Calibri"/>
        <family val="2"/>
      </rPr>
      <t>presented by:&amp;nbsp;&lt;b&gt;</t>
    </r>
    <r>
      <rPr>
        <b/>
        <sz val="11"/>
        <color indexed="8"/>
        <rFont val="Calibri"/>
        <family val="2"/>
      </rPr>
      <t>Kerim</t>
    </r>
    <r>
      <rPr>
        <sz val="11"/>
        <color indexed="8"/>
        <rFont val="Calibri"/>
        <family val="2"/>
      </rPr>
      <t>&amp;nbsp;</t>
    </r>
    <r>
      <rPr>
        <b/>
        <sz val="11"/>
        <color indexed="8"/>
        <rFont val="Calibri"/>
        <family val="2"/>
      </rPr>
      <t>Galal</t>
    </r>
    <r>
      <rPr>
        <sz val="11"/>
        <color indexed="8"/>
        <rFont val="Calibri"/>
        <family val="2"/>
      </rPr>
      <t>&lt;/b&gt; of DEKRA Digital</t>
    </r>
  </si>
  <si>
    <r>
      <rPr>
        <sz val="11"/>
        <color indexed="8"/>
        <rFont val="Calibri"/>
        <family val="2"/>
      </rPr>
      <t>&lt;b&gt;</t>
    </r>
    <r>
      <rPr>
        <b/>
        <sz val="11"/>
        <color indexed="8"/>
        <rFont val="Calibri"/>
        <family val="2"/>
      </rPr>
      <t>Odysseas</t>
    </r>
    <r>
      <rPr>
        <sz val="11"/>
        <color indexed="8"/>
        <rFont val="Calibri"/>
        <family val="2"/>
      </rPr>
      <t>&amp;nbsp;</t>
    </r>
    <r>
      <rPr>
        <b/>
        <sz val="11"/>
        <color indexed="8"/>
        <rFont val="Calibri"/>
        <family val="2"/>
      </rPr>
      <t>Raptis</t>
    </r>
    <r>
      <rPr>
        <sz val="11"/>
        <color indexed="8"/>
        <rFont val="Calibri"/>
        <family val="2"/>
      </rPr>
      <t>&lt;/b&gt;, Greek [Smart] City of Trikala</t>
    </r>
  </si>
  <si>
    <r>
      <rPr>
        <sz val="11"/>
        <color indexed="8"/>
        <rFont val="Calibri"/>
        <family val="2"/>
      </rPr>
      <t>&lt;b&gt;</t>
    </r>
    <r>
      <rPr>
        <b/>
        <sz val="11"/>
        <color indexed="8"/>
        <rFont val="Calibri"/>
        <family val="2"/>
      </rPr>
      <t>Ricardo</t>
    </r>
    <r>
      <rPr>
        <sz val="11"/>
        <color indexed="8"/>
        <rFont val="Calibri"/>
        <family val="2"/>
      </rPr>
      <t>&amp;nbsp;</t>
    </r>
    <r>
      <rPr>
        <b/>
        <sz val="11"/>
        <color indexed="8"/>
        <rFont val="Calibri"/>
        <family val="2"/>
      </rPr>
      <t>Vitorino</t>
    </r>
    <r>
      <rPr>
        <sz val="11"/>
        <color indexed="8"/>
        <rFont val="Calibri"/>
        <family val="2"/>
      </rPr>
      <t>&lt;/b&gt;, Ubiwhere</t>
    </r>
  </si>
  <si>
    <r>
      <rPr>
        <sz val="11"/>
        <color indexed="8"/>
        <rFont val="Calibri"/>
        <family val="2"/>
      </rPr>
      <t>Moderated by &lt;b&gt;</t>
    </r>
    <r>
      <rPr>
        <b/>
        <sz val="11"/>
        <color indexed="8"/>
        <rFont val="Calibri"/>
        <family val="2"/>
      </rPr>
      <t>Johanna</t>
    </r>
    <r>
      <rPr>
        <sz val="11"/>
        <color indexed="8"/>
        <rFont val="Calibri"/>
        <family val="2"/>
      </rPr>
      <t>&amp;nbsp;</t>
    </r>
    <r>
      <rPr>
        <b/>
        <sz val="11"/>
        <color indexed="8"/>
        <rFont val="Calibri"/>
        <family val="2"/>
      </rPr>
      <t>Tzandaki</t>
    </r>
    <r>
      <rPr>
        <sz val="11"/>
        <color indexed="8"/>
        <rFont val="Calibri"/>
        <family val="2"/>
      </rPr>
      <t>&lt;/b&gt;, ERTICO Dir. Innovation &amp; Development</t>
    </r>
  </si>
  <si>
    <t>Free Webinar:  Designing silicon carbide solutions for EV fast charging</t>
  </si>
  <si>
    <t>SiC-EV-Fast-Charging</t>
  </si>
  <si>
    <t>2020/07/15  14:00 – 15:00  EDT</t>
  </si>
  <si>
    <t>SiC-EV-Fast-Charging.png  134 x 97</t>
  </si>
  <si>
    <t>EV fast chargers bypass the vehicle&amp;rsquo;s on-board chargers (OBCs) for rapid direct battery charging.&amp;nbsp; This allows batteries to be charged in just 30 minutes versus 4+ hours from OBCs.</t>
  </si>
  <si>
    <t>presented by Wolfspeed and Richardson RFPD</t>
  </si>
  <si>
    <t>SAE CEU Course:  Introduction to Automated Vehicle Safety: Multi-Agent, Functional, SOTIF, and Cybersecurity</t>
  </si>
  <si>
    <t>C1950-20-7</t>
  </si>
  <si>
    <t>Boston, MA</t>
  </si>
  <si>
    <t>2020/07/16 – 17</t>
  </si>
  <si>
    <t>Juan-Pimentel.png  89 x 120</t>
  </si>
  <si>
    <t>Instructor:  Juan R. Pimentel</t>
  </si>
  <si>
    <t>Cancelled, simil;ar shorter course in China 07/10</t>
  </si>
  <si>
    <t>30&lt;sup&gt;th&lt;/sup&gt; Annual INCOSE International Symposium</t>
  </si>
  <si>
    <t>INCOSE-Symposium</t>
  </si>
  <si>
    <t>&lt;strike&gt;Cape Town, South Africa&lt;/strike&gt;&lt;i&gt;Virtual&amp;nbsp;CyberSpace&lt;/i&gt;</t>
  </si>
  <si>
    <t>2020/07/20-22    (Changed from 07/18–23)</t>
  </si>
  <si>
    <t>INCOSE-Symposium.png    195 x 158</t>
  </si>
  <si>
    <t>Premier Systems Engineering Conference</t>
  </si>
  <si>
    <t>Now Virtual</t>
  </si>
  <si>
    <t>INCOSE:  International Council on Systems Engineering</t>
  </si>
  <si>
    <t>There are four categories:  Paper, Panel/Roundtable, Tutorials, and &amp;lsquo;Paperless Presentations&amp;rsquo;</t>
  </si>
  <si>
    <t>Free Webinar:  The Path to High-Level Autonomy for Commercial Vehicles</t>
  </si>
  <si>
    <t>Path</t>
  </si>
  <si>
    <t>2020/07/21  12:00 – 13:00 EDT</t>
  </si>
  <si>
    <t>Dietrich-Narayaran-Wohltmann-Arrigo.png   342 x 120</t>
  </si>
  <si>
    <t>&lt;b&gt;Patrick&amp;nbsp;Dietrich&lt;/b&gt;, Chief Techn. Officer, Connect Tech</t>
  </si>
  <si>
    <t>&lt;b&gt;Suman&amp;nbsp;Narayanan&lt;/b&gt;, Dir. Eng., Auton. Techn. Group, Daimler Trucks North America</t>
  </si>
  <si>
    <r>
      <rPr>
        <sz val="11"/>
        <color indexed="8"/>
        <rFont val="Calibri"/>
        <family val="2"/>
      </rPr>
      <t>&lt;b&gt;</t>
    </r>
    <r>
      <rPr>
        <b/>
        <sz val="11"/>
        <color indexed="8"/>
        <rFont val="Calibri"/>
        <family val="2"/>
      </rPr>
      <t>Dirk</t>
    </r>
    <r>
      <rPr>
        <sz val="11"/>
        <color indexed="8"/>
        <rFont val="Calibri"/>
        <family val="2"/>
      </rPr>
      <t>&amp;nbsp;</t>
    </r>
    <r>
      <rPr>
        <b/>
        <sz val="11"/>
        <color indexed="8"/>
        <rFont val="Calibri"/>
        <family val="2"/>
      </rPr>
      <t>Wohltmann</t>
    </r>
    <r>
      <rPr>
        <sz val="11"/>
        <color indexed="8"/>
        <rFont val="Calibri"/>
        <family val="2"/>
      </rPr>
      <t xml:space="preserve">&lt;/b&gt;, Engineering Director, Americas, ZF </t>
    </r>
  </si>
  <si>
    <r>
      <rPr>
        <sz val="11"/>
        <color indexed="8"/>
        <rFont val="Calibri"/>
        <family val="2"/>
      </rPr>
      <t>Moderator:  &lt;b&gt;</t>
    </r>
    <r>
      <rPr>
        <b/>
        <sz val="11"/>
        <color indexed="8"/>
        <rFont val="Calibri"/>
        <family val="2"/>
      </rPr>
      <t>Lisa</t>
    </r>
    <r>
      <rPr>
        <sz val="11"/>
        <color indexed="8"/>
        <rFont val="Calibri"/>
        <family val="2"/>
      </rPr>
      <t>&amp;nbsp;</t>
    </r>
    <r>
      <rPr>
        <b/>
        <sz val="11"/>
        <color indexed="8"/>
        <rFont val="Calibri"/>
        <family val="2"/>
      </rPr>
      <t>Arrigo</t>
    </r>
    <r>
      <rPr>
        <sz val="11"/>
        <color indexed="8"/>
        <rFont val="Calibri"/>
        <family val="2"/>
      </rPr>
      <t>&lt;/b&gt;</t>
    </r>
  </si>
  <si>
    <t>July 2020 Battery Seminar</t>
  </si>
  <si>
    <t>BatSem</t>
  </si>
  <si>
    <t>2020/07/21 – 23</t>
  </si>
  <si>
    <t>Dr-John-Warner.png    129 x 147</t>
  </si>
  <si>
    <t>Conference fostering joint development efforts to advance energy storage solutions</t>
  </si>
  <si>
    <t>Postponed until October</t>
  </si>
  <si>
    <t>Day 1:  July 21:  Battery TrainingTutorials</t>
  </si>
  <si>
    <t>Flexible Pricing:  You can pay for 1, 2, or all three days.</t>
  </si>
  <si>
    <t>http://plugvolt.com/</t>
  </si>
  <si>
    <t>Day 2:  July 22:  Energy Storage Systems in Automotive Applications</t>
  </si>
  <si>
    <t>Networking Pass (no seminar access) for 7/22 only  $200</t>
  </si>
  <si>
    <t>Day 3:  July 23:  Energy StorageSystems in Stationary Grid/Utility Applications</t>
  </si>
  <si>
    <t>Self-Sustaining</t>
  </si>
  <si>
    <t>2020/07/22  16:00 EDT (13:00 PDT)</t>
  </si>
  <si>
    <t>Sasseen-Kaufman-Cioffi-Szymanski-Ducker.png        427 x 120</t>
  </si>
  <si>
    <r>
      <rPr>
        <sz val="11"/>
        <color indexed="8"/>
        <rFont val="Calibri"/>
        <family val="2"/>
      </rPr>
      <t>speakers:  &lt;b&gt;</t>
    </r>
    <r>
      <rPr>
        <b/>
        <sz val="11"/>
        <color indexed="8"/>
        <rFont val="Calibri"/>
        <family val="2"/>
      </rPr>
      <t>Tim</t>
    </r>
    <r>
      <rPr>
        <sz val="11"/>
        <color indexed="8"/>
        <rFont val="Calibri"/>
        <family val="2"/>
      </rPr>
      <t>&amp;nbsp;</t>
    </r>
    <r>
      <rPr>
        <b/>
        <sz val="11"/>
        <color indexed="8"/>
        <rFont val="Calibri"/>
        <family val="2"/>
      </rPr>
      <t>Sasseen</t>
    </r>
    <r>
      <rPr>
        <sz val="11"/>
        <color indexed="8"/>
        <rFont val="Calibri"/>
        <family val="2"/>
      </rPr>
      <t>&lt;/b&gt;,  Market Devel. Mgr., US,  Ballard</t>
    </r>
  </si>
  <si>
    <r>
      <rPr>
        <sz val="11"/>
        <color indexed="8"/>
        <rFont val="Calibri"/>
        <family val="2"/>
      </rPr>
      <t>&lt;b&gt;</t>
    </r>
    <r>
      <rPr>
        <b/>
        <sz val="11"/>
        <color indexed="8"/>
        <rFont val="Calibri"/>
        <family val="2"/>
      </rPr>
      <t>Randal</t>
    </r>
    <r>
      <rPr>
        <sz val="11"/>
        <color indexed="8"/>
        <rFont val="Calibri"/>
        <family val="2"/>
      </rPr>
      <t>&amp;nbsp;</t>
    </r>
    <r>
      <rPr>
        <b/>
        <sz val="11"/>
        <color indexed="8"/>
        <rFont val="Calibri"/>
        <family val="2"/>
      </rPr>
      <t>Kaufman</t>
    </r>
    <r>
      <rPr>
        <sz val="11"/>
        <color indexed="8"/>
        <rFont val="Calibri"/>
        <family val="2"/>
      </rPr>
      <t>&lt;/b&gt;, Sales Dir., Black &amp; Veach</t>
    </r>
  </si>
  <si>
    <r>
      <rPr>
        <sz val="11"/>
        <color indexed="8"/>
        <rFont val="Calibri"/>
        <family val="2"/>
      </rPr>
      <t>&lt;b&gt;</t>
    </r>
    <r>
      <rPr>
        <b/>
        <sz val="11"/>
        <color indexed="8"/>
        <rFont val="Calibri"/>
        <family val="2"/>
      </rPr>
      <t>Al</t>
    </r>
    <r>
      <rPr>
        <sz val="11"/>
        <color indexed="8"/>
        <rFont val="Calibri"/>
        <family val="2"/>
      </rPr>
      <t>&amp;nbsp;</t>
    </r>
    <r>
      <rPr>
        <b/>
        <sz val="11"/>
        <color indexed="8"/>
        <rFont val="Calibri"/>
        <family val="2"/>
      </rPr>
      <t>Cioffi</t>
    </r>
    <r>
      <rPr>
        <sz val="11"/>
        <color indexed="8"/>
        <rFont val="Calibri"/>
        <family val="2"/>
      </rPr>
      <t>&lt;/b&gt;, Business Devel., Plug Power</t>
    </r>
  </si>
  <si>
    <r>
      <rPr>
        <sz val="11"/>
        <color indexed="8"/>
        <rFont val="Calibri"/>
        <family val="2"/>
      </rPr>
      <t>&lt;b&gt;</t>
    </r>
    <r>
      <rPr>
        <b/>
        <sz val="11"/>
        <color indexed="8"/>
        <rFont val="Calibri"/>
        <family val="2"/>
      </rPr>
      <t>Steve</t>
    </r>
    <r>
      <rPr>
        <sz val="11"/>
        <color indexed="8"/>
        <rFont val="Calibri"/>
        <family val="2"/>
      </rPr>
      <t>&amp;nbsp;</t>
    </r>
    <r>
      <rPr>
        <b/>
        <sz val="11"/>
        <color indexed="8"/>
        <rFont val="Calibri"/>
        <family val="2"/>
      </rPr>
      <t>Szymanski</t>
    </r>
    <r>
      <rPr>
        <sz val="11"/>
        <color indexed="8"/>
        <rFont val="Calibri"/>
        <family val="2"/>
      </rPr>
      <t>&lt;/b&gt;, Dir., Bus. Devel., Nel Hydrogen</t>
    </r>
  </si>
  <si>
    <r>
      <rPr>
        <sz val="11"/>
        <color indexed="8"/>
        <rFont val="Calibri"/>
        <family val="2"/>
      </rPr>
      <t>&lt;b&gt;</t>
    </r>
    <r>
      <rPr>
        <b/>
        <sz val="11"/>
        <color indexed="8"/>
        <rFont val="Calibri"/>
        <family val="2"/>
      </rPr>
      <t>Michael</t>
    </r>
    <r>
      <rPr>
        <sz val="11"/>
        <color indexed="8"/>
        <rFont val="Calibri"/>
        <family val="2"/>
      </rPr>
      <t xml:space="preserve"> </t>
    </r>
    <r>
      <rPr>
        <b/>
        <sz val="11"/>
        <color indexed="8"/>
        <rFont val="Calibri"/>
        <family val="2"/>
      </rPr>
      <t>Ducker</t>
    </r>
    <r>
      <rPr>
        <sz val="11"/>
        <color indexed="8"/>
        <rFont val="Calibri"/>
        <family val="2"/>
      </rPr>
      <t>&lt;/b&gt;, VP, Renewable Fuels &amp; Western Region, Mitsubishi Hitachi Power Systems</t>
    </r>
  </si>
  <si>
    <t>Free Webinar:  LI-CYCLE: Approaches to Recovering Critical Materials From Spent Lithium-Ion Batteries</t>
  </si>
  <si>
    <t>Recovering</t>
  </si>
  <si>
    <t>2020/07/23 10:00 – 11:00 EDT (Postponed from 07/22)</t>
  </si>
  <si>
    <t>Kochhar-Johnston.png   164 x 120</t>
  </si>
  <si>
    <t>&amp;hellip; lithium-ion battery waste is forecasted to hit over 11 million tonnes by 2030.</t>
  </si>
  <si>
    <r>
      <rPr>
        <sz val="11"/>
        <color indexed="8"/>
        <rFont val="Calibri"/>
        <family val="2"/>
      </rPr>
      <t>presented by: &lt;b&gt;Ajay&amp;nbsp;Kochhar</t>
    </r>
    <r>
      <rPr>
        <b/>
        <sz val="11"/>
        <color indexed="8"/>
        <rFont val="Calibri"/>
        <family val="2"/>
      </rPr>
      <t>&lt;/b&gt;</t>
    </r>
    <r>
      <rPr>
        <sz val="11"/>
        <color indexed="8"/>
        <rFont val="Calibri"/>
        <family val="2"/>
      </rPr>
      <t xml:space="preserve"> &amp;ndash; Co&amp;#8209;Founder, President and CEO; and </t>
    </r>
  </si>
  <si>
    <t>&lt;b&gt;Tim&amp;nbsp;Johnston&lt;/b&gt; &amp;ndash; Co&amp;#8209;Founder, Executive Chairman &amp;ndash; both of LI-CYCLE</t>
  </si>
  <si>
    <t>SAE CEU Course:  Principled Negotiation</t>
  </si>
  <si>
    <t>C1602-20-7</t>
  </si>
  <si>
    <t>2020/07/23</t>
  </si>
  <si>
    <t>Eric-Timmis.png    78 x 114</t>
  </si>
  <si>
    <t>Successful negotiations occur when all parties want the agreement to stay in force and when everyone has a vested interest in making things work.</t>
  </si>
  <si>
    <t>Full Fee:  $810  –  membership and multi-course discounts available</t>
  </si>
  <si>
    <t>AVS</t>
  </si>
  <si>
    <t>&lt;strike&gt;San Diego, CA&lt;/strike&gt; Virtual&amp;nbsp;Cyberspace</t>
  </si>
  <si>
    <t>2020/07/27 – 30</t>
  </si>
  <si>
    <t>AVS.png       130 x 50</t>
  </si>
  <si>
    <t>Don&amp;rsquo;t miss your chance to drive the industry.</t>
  </si>
  <si>
    <t>Transportation Research Board</t>
  </si>
  <si>
    <t>Multiple-Sensing</t>
  </si>
  <si>
    <t>2020/07/28  14:00 – 15:00 EDT</t>
  </si>
  <si>
    <t>Olivier-Arrigo.png  175 x 120</t>
  </si>
  <si>
    <t>&amp;hellip;  there has been increased skepticism regarding the ability &amp;hellip; to deliver fully functional Level 3 to 5 automated driving (AD)  &amp;hellip;.</t>
  </si>
  <si>
    <t>&lt;b&gt;Pierre&amp;nbsp;Olivier&lt;/b&gt;, CTO, Leddartech</t>
  </si>
  <si>
    <t>https://www.sae.org/webcasts</t>
  </si>
  <si>
    <t>Moderator:  &lt;b&gt;Lisa&amp;nbsp;Arrigo&lt;/b&gt;, SAE</t>
  </si>
  <si>
    <t>Roadblocks</t>
  </si>
  <si>
    <t>2020/07/28  13:00 – 14:00 EDT (10:00 – 11:00 PDT)</t>
  </si>
  <si>
    <t>Freedman-Wood-Rios-Ping.png        371 x 120</t>
  </si>
  <si>
    <r>
      <rPr>
        <sz val="11"/>
        <color indexed="8"/>
        <rFont val="Calibri"/>
        <family val="2"/>
      </rPr>
      <t>speakers:  &lt;b&gt;</t>
    </r>
    <r>
      <rPr>
        <b/>
        <sz val="11"/>
        <color indexed="8"/>
        <rFont val="Calibri"/>
        <family val="2"/>
      </rPr>
      <t>Susan</t>
    </r>
    <r>
      <rPr>
        <sz val="11"/>
        <color indexed="8"/>
        <rFont val="Calibri"/>
        <family val="2"/>
      </rPr>
      <t>&amp;nbsp;</t>
    </r>
    <r>
      <rPr>
        <b/>
        <sz val="11"/>
        <color indexed="8"/>
        <rFont val="Calibri"/>
        <family val="2"/>
      </rPr>
      <t>Freedman</t>
    </r>
    <r>
      <rPr>
        <sz val="11"/>
        <color indexed="8"/>
        <rFont val="Calibri"/>
        <family val="2"/>
      </rPr>
      <t>&lt;/b&gt;, Sr. Regional Planner, Dept of Mobility and Innov.,  San Diego Association of Governments</t>
    </r>
  </si>
  <si>
    <r>
      <rPr>
        <sz val="11"/>
        <color indexed="8"/>
        <rFont val="Calibri"/>
        <family val="2"/>
      </rPr>
      <t>&lt;b&gt;</t>
    </r>
    <r>
      <rPr>
        <b/>
        <sz val="11"/>
        <color indexed="8"/>
        <rFont val="Calibri"/>
        <family val="2"/>
      </rPr>
      <t>Kevin</t>
    </r>
    <r>
      <rPr>
        <sz val="11"/>
        <color indexed="8"/>
        <rFont val="Calibri"/>
        <family val="2"/>
      </rPr>
      <t>&amp;nbsp;</t>
    </r>
    <r>
      <rPr>
        <b/>
        <sz val="11"/>
        <color indexed="8"/>
        <rFont val="Calibri"/>
        <family val="2"/>
      </rPr>
      <t>Wood</t>
    </r>
    <r>
      <rPr>
        <sz val="11"/>
        <color indexed="8"/>
        <rFont val="Calibri"/>
        <family val="2"/>
      </rPr>
      <t>&lt;/b&gt;, Coalition Coordinator, San Diego Regional Clean Cities</t>
    </r>
  </si>
  <si>
    <r>
      <rPr>
        <sz val="11"/>
        <color indexed="8"/>
        <rFont val="Calibri"/>
        <family val="2"/>
      </rPr>
      <t>&lt;b&gt;</t>
    </r>
    <r>
      <rPr>
        <b/>
        <sz val="11"/>
        <color indexed="8"/>
        <rFont val="Calibri"/>
        <family val="2"/>
      </rPr>
      <t>Lianna</t>
    </r>
    <r>
      <rPr>
        <sz val="11"/>
        <color indexed="8"/>
        <rFont val="Calibri"/>
        <family val="2"/>
      </rPr>
      <t>&amp;nbsp;</t>
    </r>
    <r>
      <rPr>
        <b/>
        <sz val="11"/>
        <color indexed="8"/>
        <rFont val="Calibri"/>
        <family val="2"/>
      </rPr>
      <t>Rios</t>
    </r>
    <r>
      <rPr>
        <sz val="11"/>
        <color indexed="8"/>
        <rFont val="Calibri"/>
        <family val="2"/>
      </rPr>
      <t>&lt;/b&gt;, EV Cust. Solutions Mgr., SDG&amp;E</t>
    </r>
  </si>
  <si>
    <r>
      <rPr>
        <sz val="11"/>
        <color indexed="8"/>
        <rFont val="Calibri"/>
        <family val="2"/>
      </rPr>
      <t>&lt;b&gt;</t>
    </r>
    <r>
      <rPr>
        <b/>
        <sz val="11"/>
        <color indexed="8"/>
        <rFont val="Calibri"/>
        <family val="2"/>
      </rPr>
      <t>Ping</t>
    </r>
    <r>
      <rPr>
        <sz val="11"/>
        <color indexed="8"/>
        <rFont val="Calibri"/>
        <family val="2"/>
      </rPr>
      <t>&amp;nbsp;</t>
    </r>
    <r>
      <rPr>
        <b/>
        <sz val="11"/>
        <color indexed="8"/>
        <rFont val="Calibri"/>
        <family val="2"/>
      </rPr>
      <t>Gui</t>
    </r>
    <r>
      <rPr>
        <sz val="11"/>
        <color indexed="8"/>
        <rFont val="Calibri"/>
        <family val="2"/>
      </rPr>
      <t>&lt;/b&gt;, Progr. Supervisor, Sci &amp; Techn. Advancement, SCAQMD (South Coast Air Quality Management&amp;nbsp;District)</t>
    </r>
  </si>
  <si>
    <t>Aviation-Electrification</t>
  </si>
  <si>
    <t>2020/07/29  14:00 – 15:00 EDT</t>
  </si>
  <si>
    <t>Williams-Bell.png        186 x 120</t>
  </si>
  <si>
    <r>
      <rPr>
        <sz val="11"/>
        <color indexed="8"/>
        <rFont val="Calibri"/>
        <family val="2"/>
      </rPr>
      <t>&lt;b&gt;</t>
    </r>
    <r>
      <rPr>
        <b/>
        <sz val="11"/>
        <color indexed="8"/>
        <rFont val="Calibri"/>
        <family val="2"/>
      </rPr>
      <t>Aaron</t>
    </r>
    <r>
      <rPr>
        <sz val="11"/>
        <color indexed="8"/>
        <rFont val="Calibri"/>
        <family val="2"/>
      </rPr>
      <t>&amp;nbsp;</t>
    </r>
    <r>
      <rPr>
        <b/>
        <sz val="11"/>
        <color indexed="8"/>
        <rFont val="Calibri"/>
        <family val="2"/>
      </rPr>
      <t>Williams</t>
    </r>
    <r>
      <rPr>
        <sz val="11"/>
        <color indexed="8"/>
        <rFont val="Calibri"/>
        <family val="2"/>
      </rPr>
      <t>&lt;/b&gt;, Dir. Strategic Techn &amp; Bus. Devel., Arnold Magnetic Technologies</t>
    </r>
  </si>
  <si>
    <r>
      <rPr>
        <sz val="11"/>
        <color indexed="8"/>
        <rFont val="Calibri"/>
        <family val="2"/>
      </rPr>
      <t>&lt;b&gt;</t>
    </r>
    <r>
      <rPr>
        <b/>
        <sz val="11"/>
        <color indexed="8"/>
        <rFont val="Calibri"/>
        <family val="2"/>
      </rPr>
      <t>Linda</t>
    </r>
    <r>
      <rPr>
        <sz val="11"/>
        <color indexed="8"/>
        <rFont val="Calibri"/>
        <family val="2"/>
      </rPr>
      <t>&amp;nbsp;</t>
    </r>
    <r>
      <rPr>
        <b/>
        <sz val="11"/>
        <color indexed="8"/>
        <rFont val="Calibri"/>
        <family val="2"/>
      </rPr>
      <t>Bell</t>
    </r>
    <r>
      <rPr>
        <sz val="11"/>
        <color indexed="8"/>
        <rFont val="Calibri"/>
        <family val="2"/>
      </rPr>
      <t>&lt;/b&gt;, Editorial Director, Tech Briefs Media Group</t>
    </r>
  </si>
  <si>
    <t>Webinar:  ICL: Battery Design Optimization Using Cell Cooling Coefficient</t>
  </si>
  <si>
    <t>Cooling-Coeff</t>
  </si>
  <si>
    <t>2020/08/05 10:00 – 11:00 EDT</t>
  </si>
  <si>
    <t>Alastair-Hales.png       76 x 120</t>
  </si>
  <si>
    <t>Cell Cooling Coefficients (CCCs) have been developed to quantify the cell thermal performance. &amp;hellip; vital information for the design of any thermal management system.</t>
  </si>
  <si>
    <t>presented by:  Dr.&amp;nbsp;&lt;b&gt;Alastair&amp;nbsp;Hales&lt;/b&gt; &amp;nbsp; Research Associate, Imperial College London</t>
  </si>
  <si>
    <t>Free Webinar:  Rework ability of gap fillers in EV battery packs</t>
  </si>
  <si>
    <t>Gap-Fillers</t>
  </si>
  <si>
    <t>2020/08/05 14:00 EDT</t>
  </si>
  <si>
    <t>Anurodh-Tripathi.png   120 x 87</t>
  </si>
  <si>
    <t>2020/08/10 – 13   Postponed</t>
  </si>
  <si>
    <t>2020/05/11 – 14 moved to Summer</t>
  </si>
  <si>
    <t>Drive World Conference &amp; Expo  (SAVE THE DATE)</t>
  </si>
  <si>
    <t>Drive-World</t>
  </si>
  <si>
    <t>Santa Clara, CA</t>
  </si>
  <si>
    <t>2020/08/11 – 13</t>
  </si>
  <si>
    <t>Drive-World-Expo.png      168 x 79</t>
  </si>
  <si>
    <t>&amp;hellip; brings together the brightest minds across the automotive electronics and embedded systems industries &amp;hellip;</t>
  </si>
  <si>
    <t>Advanced Design and Manufacturing Events</t>
  </si>
  <si>
    <t>The Future of Autonomous Vehicles</t>
  </si>
  <si>
    <t>Fut-Auton-Veh</t>
  </si>
  <si>
    <t>2020/08/11  12:30 – 13:00 EDT</t>
  </si>
  <si>
    <t>Reynolds-Talbott-Witty-VandeHei-Iagnemma.png   448 x 120</t>
  </si>
  <si>
    <t>State of Sustainable Fleets Executive Panel</t>
  </si>
  <si>
    <t>Exec-Panel</t>
  </si>
  <si>
    <t>2020/08/11  13:00 – 14:30 EDT (10:00 – 11:30 PDT)</t>
  </si>
  <si>
    <t>Cota-Cullen-Delpiano-Neandross.png  363 x 120</t>
  </si>
  <si>
    <t>The State of Sustainable Fleets</t>
  </si>
  <si>
    <t>Digital Express</t>
  </si>
  <si>
    <t>Digital-Express</t>
  </si>
  <si>
    <t>2020/08/12  09:00 – 16:30</t>
  </si>
  <si>
    <t>EHVTX-BatteryShow.png    573 x 83</t>
  </si>
  <si>
    <t>Must register by 2020/08/11 15:30 EDT</t>
  </si>
  <si>
    <t>Informa Markets Division of Informa PLC</t>
  </si>
  <si>
    <t>State of Sustainable Fleets in a COVID-19 World</t>
  </si>
  <si>
    <t>Sust-COVID</t>
  </si>
  <si>
    <t>2020/08/13  13:00 – 14:30 EDT (10:00 – 11:30 PDT)</t>
  </si>
  <si>
    <t>Rose-Cade-Spencer-Cullen.png  365 x 120</t>
  </si>
  <si>
    <t>c1602-20-8</t>
  </si>
  <si>
    <t>2020/08/13</t>
  </si>
  <si>
    <t xml:space="preserve">Instructor:  Stacy Marable, Jr. </t>
  </si>
  <si>
    <t>ISMB 17:  17&lt;sup&gt;th&lt;/sup&gt; International Symposium on Magnetic Bearings</t>
  </si>
  <si>
    <t>ISMB-17</t>
  </si>
  <si>
    <t>Rio de Janeiro, Brazil</t>
  </si>
  <si>
    <t>2020/08/18 – 21</t>
  </si>
  <si>
    <t>ISMB-17.png   174 x 185</t>
  </si>
  <si>
    <t>2020/03/15 (extended from 02/29)</t>
  </si>
  <si>
    <t>2020/08/18 (postponed from 06/02)</t>
  </si>
  <si>
    <t>2020/08/18 – 20 (postponed from 06/03 – 04)</t>
  </si>
  <si>
    <t>The Engine of Auto Tech Innovation</t>
  </si>
  <si>
    <t>Electrify Fleet Cost Savings with PG&amp;E’s New Business EV Rates (Part 1)</t>
  </si>
  <si>
    <t>Fleet-Savings-1</t>
  </si>
  <si>
    <t>2020/08/19 13:00 EDT (10:00 PDT)</t>
  </si>
  <si>
    <t>O-Neill-Firoozmand-Smith-2.png   254 x 119</t>
  </si>
  <si>
    <t>ACT Webinars</t>
  </si>
  <si>
    <t>IEEE TEC Webinar:&amp;nbsp; All-electric Propulsion for Heavy-duty Urban Aerial Vehicles</t>
  </si>
  <si>
    <t>Heavy-Duty-UAV</t>
  </si>
  <si>
    <t>2020/08/19 13:00 – 14:30 EDT (10:00-11:30 PDT)</t>
  </si>
  <si>
    <t>Yue-Cao.png   86 x 120</t>
  </si>
  <si>
    <t>&lt;strike&gt;Montr&amp;eacute;al, Qu&amp;eacute;bec, Canada&lt;/strike&gt; Virtual&amp;nbsp;Cyberspace</t>
  </si>
  <si>
    <t>2020/08/24 – 09/20 (Postponed from 04/20 – 23)</t>
  </si>
  <si>
    <t>Special Session Submission Deadline:  (???)</t>
  </si>
  <si>
    <t>2019/10/14 (extended from 2019/09/27 and 08/10)</t>
  </si>
  <si>
    <t>2019/10/14 (extended from 2019/09/27 and 09/13)</t>
  </si>
  <si>
    <t>Free Intertraffic Webinar:  Smart technologies to improve road safety</t>
  </si>
  <si>
    <t>Smart-Safety</t>
  </si>
  <si>
    <t>2020/08/25  14:00 – 15:30 CEST (08:00 – 09:30 EDT)</t>
  </si>
  <si>
    <t>Hutton-Sowell-VanDam-Fridman.png  267 x 375</t>
  </si>
  <si>
    <t>Moderated by; &lt;b&gt;Paul Hutton&lt;/b&gt;</t>
  </si>
  <si>
    <t>Intertraffic Webinars</t>
  </si>
  <si>
    <t>Presented by: &lt;b&gt;Bill&amp;nbsp;Sowell&lt;/b&gt;, IRF</t>
  </si>
  <si>
    <t>&lt;b&gt;Serge&amp;nbsp;van&amp;nbsp;Dam&lt;/b&gt;, Rijkswaterstaat</t>
  </si>
  <si>
    <t>&lt;b&gt;Roy&amp;nbsp;Fridman&lt;/b&gt;, Foretellix</t>
  </si>
  <si>
    <t>AIAA Propulsion Energy Forum</t>
  </si>
  <si>
    <t>EATS</t>
  </si>
  <si>
    <t>&lt;strike&gt;New Orleans, LA&lt;/strike&gt; Virtual&amp;nbsp;Cyberspace</t>
  </si>
  <si>
    <t>2020/08/24 – 26</t>
  </si>
  <si>
    <t>NASA-EP-40.png             184 x 114</t>
  </si>
  <si>
    <t>&amp;hellip; nontraditional aircraft propulsion: electric, turboelectric, or hybrid/electric powertrains.</t>
  </si>
  <si>
    <t>Q</t>
  </si>
  <si>
    <t>AIAA/IEEE Electric Aircraft Technologies Symposium (EATS)</t>
  </si>
  <si>
    <t>https://propulsionenergy.aiaa.org/EATS/</t>
  </si>
  <si>
    <t>2020/08/27 – 28</t>
  </si>
  <si>
    <t>&amp;hellip; electric aircraft, hybrid rockets, automation, robotics, and hypersonics.</t>
  </si>
  <si>
    <t>AIAA/IEEE EATS Students DesignChallenge 2020</t>
  </si>
  <si>
    <t>EATS-SDC</t>
  </si>
  <si>
    <t>2020/08/26 (Awards program)</t>
  </si>
  <si>
    <t>Tail-Big-Electric-Airplane.png   166 x 106</t>
  </si>
  <si>
    <t>2020/06/01</t>
  </si>
  <si>
    <t>2020/08/26 – 28</t>
  </si>
  <si>
    <t>C1950-20-8</t>
  </si>
  <si>
    <t>Shenzhen, China</t>
  </si>
  <si>
    <t>Conference on Sustainability and Emerging Transportation Technology (SETT) 2020</t>
  </si>
  <si>
    <t>SETT</t>
  </si>
  <si>
    <t>Irvine, CA</t>
  </si>
  <si>
    <t>SETT-2020.png  271 x 168</t>
  </si>
  <si>
    <t>Shaping the Future of Mobility</t>
  </si>
  <si>
    <t>2020/02/29 (extended from 02/16)</t>
  </si>
  <si>
    <t>SAE CEU Course:  Fundamentals of Powertrain Design for Hybrid Electric Vehicles</t>
  </si>
  <si>
    <t>C1527-20-9</t>
  </si>
  <si>
    <t>2020/09/01 – 02</t>
  </si>
  <si>
    <t>In order to meet current and future demands in the HEV and PHEV markets, success will depend on engineering personnel knowing how to develop and manufacture HEV powertrains.</t>
  </si>
  <si>
    <t>Full Fee:  $1,335 – membership and multi-course discounts available</t>
  </si>
  <si>
    <t>Charged Virtual Conference on EV engineering</t>
  </si>
  <si>
    <t>Virt-Conf</t>
  </si>
  <si>
    <t>2020/09/01 – 03</t>
  </si>
  <si>
    <t>Charged-Virtual-Conference.png       173 x 189</t>
  </si>
  <si>
    <t>Live Webinar Sessions. On-Demand Videos. Whitepapers. Interactive Q&amp;As.</t>
  </si>
  <si>
    <t xml:space="preserve">Webinar:  WPI: Experimental Investigation of Cascading Failure in Lithium Ion Cell Arrays &amp;ndash; Impact of Cathode Chemistry </t>
  </si>
  <si>
    <t>Cathode-Chem</t>
  </si>
  <si>
    <t>2020/09/02 10:00 – 11:00 EDT</t>
  </si>
  <si>
    <t>Ahmed-Said.png         94 x 120</t>
  </si>
  <si>
    <t>&amp;hellip; thermal runaway may propagate from a failing cell to neighboring cells and grow into a large-scale fire in a phenomenon referred to as cascading failure.</t>
  </si>
  <si>
    <t>presented by:  &lt;b&gt;Ahmed&amp;nbsp;Said&lt;/b&gt; &amp;ndash; Postdoc Fellow, Worcester Polytechnic Institute</t>
  </si>
  <si>
    <t>SAE CEU Course:  Application Development of Electric Vehicles and Hybrid Electric Vehicles: Balancing Economic Objectives and Technical Requirements</t>
  </si>
  <si>
    <t>C1630-20-9</t>
  </si>
  <si>
    <t>2020/09/03 – 04</t>
  </si>
  <si>
    <t>Tsinghua-Univ.png         127 x 100</t>
  </si>
  <si>
    <t>&amp;hellip; emission and fuel consumption regulations are pushing the automotive industry towards electrified powertrain and electrified vehicles &amp;hellip; particularly &amp;hellip; in China &amp;hellip;</t>
  </si>
  <si>
    <t>Full Fee:  $588</t>
  </si>
  <si>
    <t>(Free) Course 3 of 3 &amp;ndash; Gain More Visibility Into Your Energy Storage System</t>
  </si>
  <si>
    <t>ESS-Visib</t>
  </si>
  <si>
    <t>2020/09/09 13:00 – 14:00 EDT (10:00 – 11:00 PDT)</t>
  </si>
  <si>
    <t>Michael-Worry-2.png   88 x 120</t>
  </si>
  <si>
    <t>Real-time diagnostics and historical battery health data can be utilized to improve system reliability and reduce the total cost of ESS ownership.</t>
  </si>
  <si>
    <t>&lt;b&gt;Michael&amp;nbsp;Worry&lt;/b&gt;, CEO at Nuvation Energy</t>
  </si>
  <si>
    <t>https://plugvolt.com/webinars/</t>
  </si>
  <si>
    <t>Free Webinar:  Exploring Renewable Hydrogen Production Pathways</t>
  </si>
  <si>
    <t>Renewable-Hydrogen</t>
  </si>
  <si>
    <t>2020/09/09 13:00 – 14:15 EDT (10:00 – 11:15 PDT)</t>
  </si>
  <si>
    <t>Biebuyck-Ducker-Edwards-Quinn-Moss.png     435 x 120</t>
  </si>
  <si>
    <t>&amp;hellip; a number of foward-thinking organizations are exploring innovative, sustainable pathways to commercialize renewable hydrogen &amp;hellip;</t>
  </si>
  <si>
    <t>48&lt;sup&gt;th&lt;/sup&gt; European Transport Conference</t>
  </si>
  <si>
    <t>ETC</t>
  </si>
  <si>
    <t>&lt;strike&gt;Milan, Italy&lt;/strike&gt; Virtual&amp;nbsp;Cyberspace</t>
  </si>
  <si>
    <t>2020/09/09 – 11</t>
  </si>
  <si>
    <t>ETC-2020.png   211 x 107</t>
  </si>
  <si>
    <t>[to] address themes of relevance to the transport policy agenda in Europe and worldwide &amp;ndash; from a research, policy or practice angle.</t>
  </si>
  <si>
    <t>2020/02/04</t>
  </si>
  <si>
    <t>Association for European Transport</t>
  </si>
  <si>
    <t>C1870-20-9</t>
  </si>
  <si>
    <t>2020/09/09</t>
  </si>
  <si>
    <t>Full Fee:  $599  –  membership and multi-course discounts availaible</t>
  </si>
  <si>
    <t>SAE CEU Course:  Hybrid and Electric Vehicle Systems</t>
  </si>
  <si>
    <t>C1504-20-9</t>
  </si>
  <si>
    <t>&lt;strike&gt;Troy, MI&lt;/strike&gt; &lt;i&gt;Live&amp;nbsp;online&lt;/i&gt;</t>
  </si>
  <si>
    <t>&amp;hellip;  three-day practical and applications-based course &amp;hellip;</t>
  </si>
  <si>
    <t>Full Fee:  $1,699  –  membership and multi-course discounts available</t>
  </si>
  <si>
    <t>SAE CEU Course:  Powertrain Product Development for Electrified Vehicles</t>
  </si>
  <si>
    <t>C1635-20-9</t>
  </si>
  <si>
    <t>2020/09/10 – 11</t>
  </si>
  <si>
    <t>Tongji.png         94 x 180</t>
  </si>
  <si>
    <t xml:space="preserve">Common problems such as reliability, durability, NVH as well as related technology trends will be addressed from an engineer&amp;rsquo;s viewpoint. </t>
  </si>
  <si>
    <t>Instructor:  Yiqing Yuan</t>
  </si>
  <si>
    <t>Full Fee:  $588  –  membership and multi-course discounts availaible</t>
  </si>
  <si>
    <t>LiDAR-Tech</t>
  </si>
  <si>
    <t>2020/09/10  12:00 – 13:00 EDT</t>
  </si>
  <si>
    <t>Gavardoni-Greene-Jun-Arrigo-2.png  293 x 99</t>
  </si>
  <si>
    <t>&lt;b&gt;Maurizio&amp;nbsp;GavardoniM/b&gt;, Sr. Principal Member of Techn. Staff, Maxim&amp;nbsp;Integrated</t>
  </si>
  <si>
    <t>&lt;b&gt;Jordan&amp;nbsp;Greene&lt;/b&gt;, Co-Founder and Head of Strategy &amp; Partnerships, AEye</t>
  </si>
  <si>
    <t>Gavardoni-Greene-Jun-Arrigo.png        145 x 201</t>
  </si>
  <si>
    <t>Ready-to-Charge</t>
  </si>
  <si>
    <t>2020/09/10  13:00 – 14:00 EDT (10:00 – 11:00 PDT)</t>
  </si>
  <si>
    <t>Horton-Papson-Barnes-Swalnick.png     168 x 242</t>
  </si>
  <si>
    <t>Designing and installing charging infrastructure to support your fleet&amp;rsquo;s short- and long-term vehicle deployments is one of the most critical steps in the transition to electric medium- and heavy-duty vehicles.</t>
  </si>
  <si>
    <t>https://www.ACT-News.com/webinars/</t>
  </si>
  <si>
    <t>Webinar:&amp;nbsp; Reconditioned your Old Hybrid Battery</t>
  </si>
  <si>
    <t>EnnoCar</t>
  </si>
  <si>
    <t>2020/09/11  11:00 EDT</t>
  </si>
  <si>
    <t>EnnoCar.png   175 x 117</t>
  </si>
  <si>
    <t>Module Reconditioning and Balancing</t>
  </si>
  <si>
    <t>ZEB – Zero Emission Bus Conference 2020 (now free and online)</t>
  </si>
  <si>
    <t>ZEB-OnLine</t>
  </si>
  <si>
    <t>2020/09/15 – 17 (originally 2020/04/07 – 08)</t>
  </si>
  <si>
    <t>&amp;hellip;  will provide valuable resources to leaders who are electrifying public fleets &amp;hellip;</t>
  </si>
  <si>
    <t>SAE M3 &amp;ndash; Multi-Modal Mobility Conference &amp; Exhibition</t>
  </si>
  <si>
    <t>SAE-M3</t>
  </si>
  <si>
    <t>Munich, Germany</t>
  </si>
  <si>
    <t>2020/09/15 – 17</t>
  </si>
  <si>
    <t>SAE-M3.png   143 x 96</t>
  </si>
  <si>
    <t>Advancing Mobility Together &amp;mdash; on the Ground, and in the Air</t>
  </si>
  <si>
    <t>2020/04/21</t>
  </si>
  <si>
    <t>IEEE TEC Webinar:&amp;nbsp; Topologies, Modeling and Design of Megahertz Wireless Power Transfer Systems</t>
  </si>
  <si>
    <t>MHz-Power-Xfer</t>
  </si>
  <si>
    <t>2020/09/15 10:00 – 11:30 EDT</t>
  </si>
  <si>
    <t>Chengbin-Ma.png            79 x 120</t>
  </si>
  <si>
    <t>Electric &amp; Hybrid Vehicle Technology Expo</t>
  </si>
  <si>
    <t>EVTech</t>
  </si>
  <si>
    <t>2020/09/15 – 17 (Prelim. event 9/14 disap.)</t>
  </si>
  <si>
    <t>&amp;hellip; offers expert-led educational sessions and a showcase of materials, components, and systems &amp;hellip;</t>
  </si>
  <si>
    <t>Colocated with next event; Postponed by a year</t>
  </si>
  <si>
    <t>Registration:  https://evtechexpo.com/elq_registration_inquiry-hybrid</t>
  </si>
  <si>
    <t>Exhibitors&amp;rsquo; info:  https://evtechexpo.com/why-exhibit-hybrid</t>
  </si>
  <si>
    <t>2020/04/03</t>
  </si>
  <si>
    <t>The Battery Show</t>
  </si>
  <si>
    <t>BatteryShow</t>
  </si>
  <si>
    <t>Battery-Show-2020NA.png    213 x 45</t>
  </si>
  <si>
    <t>Colocated with previous event; Postponed by a year</t>
  </si>
  <si>
    <t>Registration:  https://thebatteryshow.com/elq_registration_inquiry-battery</t>
  </si>
  <si>
    <t>Exhibitors&amp;rsquo; info:  https://thebatteryshow.com/why-exhibit-battery</t>
  </si>
  <si>
    <t>Webinar:  Electric Vehicles and Fire Security</t>
  </si>
  <si>
    <t>Fire-Security</t>
  </si>
  <si>
    <t>2020/09/16 15:00 – 16:30 CEST  (09:00–10:30 EDT)</t>
  </si>
  <si>
    <t>Rosmuller-Frydenlund.png    164 x 120</t>
  </si>
  <si>
    <t>Fee:  &amp;euro 45 (free for AVERE members)</t>
  </si>
  <si>
    <t>ITS World Congress All-Access 2020</t>
  </si>
  <si>
    <t>ITSWC20</t>
  </si>
  <si>
    <t>&lt;strike&gt;Los Angeles, CA&lt;/strike&gt; &lt;i&gt;Virtual Cyberspace&lt;/i&gt;</t>
  </si>
  <si>
    <t>2020/09/16 – 10/08 (was 2020/10/04 – 08)</t>
  </si>
  <si>
    <t>ITS-World-Congress-5.png             474 x 329</t>
  </si>
  <si>
    <t>The New Age of Mobility</t>
  </si>
  <si>
    <t>2020/02/12 (extended from 02/03)</t>
  </si>
  <si>
    <t>ITS America</t>
  </si>
  <si>
    <t>Limited Access:  Free
Premium Pass:  $95</t>
  </si>
  <si>
    <t>2020/03/15 (or later, with no guarantee of acceptance) (extended from 02/01)</t>
  </si>
  <si>
    <t>2020/09/16 – 19 (Postponed from 06/1720 and 04/29 – 05/02)</t>
  </si>
  <si>
    <t>North American International Powertrain Conference</t>
  </si>
  <si>
    <t>NAIPC</t>
  </si>
  <si>
    <t>Chicago-city.png          69 x 117</t>
  </si>
  <si>
    <t>&amp;hellip; provides exclusive access &amp;hellip; not published or discussed together in any other forum.</t>
  </si>
  <si>
    <t>&amp;hellip; is an exclusive, executive-level event [about] the most profound issues in the automotive industry &amp;hellip;</t>
  </si>
  <si>
    <t>C2I</t>
  </si>
  <si>
    <t>Engineer-C2I-color.png         320 x 111</t>
  </si>
  <si>
    <t>Deadline Postponed</t>
  </si>
  <si>
    <t>2020/09/18</t>
  </si>
  <si>
    <t>The Engineer</t>
  </si>
  <si>
    <t>C1630-20-9; C1630-20-11</t>
  </si>
  <si>
    <t>2020/09/16 – 17</t>
  </si>
  <si>
    <t>Full Fee:  $1,299</t>
  </si>
  <si>
    <t>Is 5G the Future of Autonomous Vehicles?</t>
  </si>
  <si>
    <t>5G-ADAS</t>
  </si>
  <si>
    <t>2020/09/17  14:00 – 15:00 EDT (11:00 – 12:00 PDT)</t>
  </si>
  <si>
    <t>Tim-Talty.png   76 x 115</t>
  </si>
  <si>
    <t xml:space="preserve">Historic Wardenclyffe Chimney Restoration Event </t>
  </si>
  <si>
    <t>Wellhead</t>
  </si>
  <si>
    <t>2020/09/19  09:00 – 10:30 EDT</t>
  </si>
  <si>
    <t>Tesla-Wellhead.png   50 x 96</t>
  </si>
  <si>
    <t>IEEE Intelligent Transportation Systems Conference (ITSC) 2020</t>
  </si>
  <si>
    <t>ITSC; ITSC-2020</t>
  </si>
  <si>
    <t>&lt;strike&gt;Rhodes, Greece&lt;/strike&gt; &lt;i&gt;Virtual&amp;#8209;Cyberspace</t>
  </si>
  <si>
    <t>2020/09/20 – 23</t>
  </si>
  <si>
    <t>ITSC-2020-Rhodes.png   122 x 94</t>
  </si>
  <si>
    <t>&amp;hellip; implementation and deployment of advanced ITS applications.</t>
  </si>
  <si>
    <t>Submission Instructions:  https://www.ieee-itsc2020.org/for-authors/paper-submission/</t>
  </si>
  <si>
    <t>TRB Webinar: Modeling Long-Distance Intercity Travel for Sustainable Global Travel</t>
  </si>
  <si>
    <t>Modeling-Inter-City</t>
  </si>
  <si>
    <t>2020/09/21 13:00 – 15:00 EDT</t>
  </si>
  <si>
    <t>Aultman-Hall-LaMondia-Moeckel-Outwater.png  333 x 120</t>
  </si>
  <si>
    <t>ITS Central Eastern Congress</t>
  </si>
  <si>
    <t>ITS-Cen-Eastern</t>
  </si>
  <si>
    <t>Kazan, Russia</t>
  </si>
  <si>
    <t>2020/09/21 – 24</t>
  </si>
  <si>
    <t>ITS-Kazan.png   136 x 145</t>
  </si>
  <si>
    <t xml:space="preserve">&amp;hellip; to promote the development and deployment of ITS in Central and Eastern European countries. </t>
  </si>
  <si>
    <t>ICMIM; ICMIM-Virt</t>
  </si>
  <si>
    <t>&lt;strike&gt;Linz, Austria&lt;/strike&gt; Virtual&amp;nbsp;Cyberspace</t>
  </si>
  <si>
    <t>2020/04/20 moved to summer</t>
  </si>
  <si>
    <t>Virtual &amp;ndash; details to follow</t>
  </si>
  <si>
    <t>Linked to event in 2021:  ICMIM-GetTogether</t>
  </si>
  <si>
    <t>Kazan Digital Week 2020 &amp;mdash; Intelligent Transportation Systems</t>
  </si>
  <si>
    <t>Kazan</t>
  </si>
  <si>
    <t>Kazan-Dig-Week.png   134 x 124</t>
  </si>
  <si>
    <t>https://itsineurope.com/</t>
  </si>
  <si>
    <t>Free Webinar:  Highly Integrated Front End Simplifies Design for 36V+ Battery Packs</t>
  </si>
  <si>
    <t>Simplifies-Design</t>
  </si>
  <si>
    <t>2020/09/22  14:00 – 15:00 EDT</t>
  </si>
  <si>
    <t>Keeley-Teschler.png    172 x 120</t>
  </si>
  <si>
    <t>Next generation Lithium-ion battery designs need a battery management platform more capable than in the past without increasing in size.</t>
  </si>
  <si>
    <t>Powertrains, Fuels &amp; Lubricants Meeting</t>
  </si>
  <si>
    <t>Lubricants</t>
  </si>
  <si>
    <t>&lt;strike&gt;Krakow, Poland&lt;/strike&gt; &lt;i&gt;Virtual Cyberspace&lt;/i&gt;</t>
  </si>
  <si>
    <t>2020/09/22 – 24</t>
  </si>
  <si>
    <t>Lubricant-2b.png          342 x 61</t>
  </si>
  <si>
    <t>(Includes a section on Environmentally sustainable powertrain technologies)</t>
  </si>
  <si>
    <t>Sometime in the Fall (was 2020/10/04 – 08)</t>
  </si>
  <si>
    <t>Lubricant.png    242 x 149</t>
  </si>
  <si>
    <t>InnoTrans 2020</t>
  </si>
  <si>
    <t>InnoTrans</t>
  </si>
  <si>
    <t>InnoTrans-noText.png      107 x 75</t>
  </si>
  <si>
    <t>The Future of Mobility</t>
  </si>
  <si>
    <t>TRB Free Webinar: Stay Current on Research in Progress</t>
  </si>
  <si>
    <t>RiP</t>
  </si>
  <si>
    <t>2020/09/23  13:00 – 14:00 EDT</t>
  </si>
  <si>
    <t>Daly-Ewoldsen.png   139 x 80</t>
  </si>
  <si>
    <t xml:space="preserve">The RiP Database is a leading tool for transportation professionals to stay updated &amp;hellip; </t>
  </si>
  <si>
    <t>Presented by:&amp;nbsp; &lt;b&gt;Janet&amp;nbsp;Daly&lt;/b&gt;, Transportation Research Board</t>
  </si>
  <si>
    <t>See also #TRIS</t>
  </si>
  <si>
    <t>Moderated by:  &lt;b&gt; Beth Ewoldsen, Transportation Research Board</t>
  </si>
  <si>
    <t>Busting-Barriers</t>
  </si>
  <si>
    <t>San Diego, CA</t>
  </si>
  <si>
    <t>2020/09/23  10:00 – 11:30 PDT  (13:00–14:30 EDT)</t>
  </si>
  <si>
    <t>Volvo-electric-refuse-truck.png    159 x 119</t>
  </si>
  <si>
    <t>HV-Arteries</t>
  </si>
  <si>
    <t>2020/09/23  14:00 – 15:00 EDT</t>
  </si>
  <si>
    <t>Brenner-Arrigo.png       127 x 85</t>
  </si>
  <si>
    <t>National Drive Electric Week</t>
  </si>
  <si>
    <t>ElecDriveWeek</t>
  </si>
  <si>
    <t>Various Locations</t>
  </si>
  <si>
    <t>2020/09/26 – 10/04</t>
  </si>
  <si>
    <t>DriveElectric.png     222 x 55</t>
  </si>
  <si>
    <t>&amp;hellip; a nationwide celebration to heighten awareness of today's widespread availability of plug-in vehicles and highlight the[ir] benefits &amp;hellip;</t>
  </si>
  <si>
    <t>Note:  Yom Kippur is 09/27-28</t>
  </si>
  <si>
    <t>Plug-In America</t>
  </si>
  <si>
    <t>http://www.pluginamerica.org</t>
  </si>
  <si>
    <t>&lt;strike&gt;East Liberty, OH&lt;/strike&gt; &lt;i&gt;Virtual Cyberspace&lt;/i&gt;</t>
  </si>
  <si>
    <t>2020/09/28 – 10/01 (Moved up from 10/02 – 08;  Postponed from 06/08 – 14)</t>
  </si>
  <si>
    <t>Free Webinar:&amp;nbsp; Connected Road Users Need Connected Road Networks</t>
  </si>
  <si>
    <t>Connected-Road</t>
  </si>
  <si>
    <t>2020/09/29  14:00 – 15:30 CEST  (08:00–09:30 EDT)</t>
  </si>
  <si>
    <t>Hutton-Afshar-Bohm-Potters.png     276 x 366</t>
  </si>
  <si>
    <t>https://www.intertraffic.com/webinars/</t>
  </si>
  <si>
    <t>TRB Webinar: Capacity Impacts of Connected and Autonomous Vehicles</t>
  </si>
  <si>
    <t>Capacity-CAV</t>
  </si>
  <si>
    <t>2020/09/29 14:00 – 15:30 EDT</t>
  </si>
  <si>
    <t>Schroeder-Dunn-Morgan-Creasey.png  342 x 120</t>
  </si>
  <si>
    <t>$95 fee for some people
1.5 Certification Maintenance Credits for those who qualify</t>
  </si>
  <si>
    <t>C1603-20-9</t>
  </si>
  <si>
    <t>2020/09/29 – 30</t>
  </si>
  <si>
    <t>Removed</t>
  </si>
  <si>
    <t>Full Fee:  $1,299  –  membership and multi-course discounts available</t>
  </si>
  <si>
    <t>Free Webinar: NH Research: The Fundamentals of Battery Module and Pack Test</t>
  </si>
  <si>
    <t>Pack-Test</t>
  </si>
  <si>
    <t>2020/09/30 10:00 – 11:00 EDT</t>
  </si>
  <si>
    <t>Martin-Weiss.png     93 x 120</t>
  </si>
  <si>
    <t>&lt;b&gt;Martin&amp;nbsp;Weiss&lt;/b&gt;, Product Director at NH Research</t>
  </si>
  <si>
    <t xml:space="preserve">EV Charging Infrastructure and Technology Expo </t>
  </si>
  <si>
    <t>EV-Charging-Expo</t>
  </si>
  <si>
    <t>&lt;strike&gt;Maastricht, Netherlands&lt;/strike&gt; &lt;i&gt;Virtual Cyberspace&lt;/i&gt;</t>
  </si>
  <si>
    <t>2020/09/30 – 10/02</t>
  </si>
  <si>
    <t>Embedding clean mobility in Europe&amp;rsquo;s new normal requires speeding up the launch of battery electric vehicles and the rollout of charging infrastructure, as well as upgrading the grids and developing the appropriate storage solutions.</t>
  </si>
  <si>
    <t>2020/09/30 – 10/01</t>
  </si>
  <si>
    <t>alt.  https://avere.org/event/ev-charging-infrastructure-and-technology-expo/?instance_id=44</t>
  </si>
  <si>
    <t>2020/10/02</t>
  </si>
  <si>
    <t>c1893-20-10</t>
  </si>
  <si>
    <t>2020/10/01</t>
  </si>
  <si>
    <t>Full Fee:  $599  –  membership and multi-course discounts available</t>
  </si>
  <si>
    <t>SAE Free Webinar:  Helping HEV/EV Batteries Go the Distance and Stay Cool Under Pressure</t>
  </si>
  <si>
    <t>Stay-Cool</t>
  </si>
  <si>
    <t>2020/10/01  09:00 – 10:00 EDT (15:00–16:00 CEST)</t>
  </si>
  <si>
    <t>Van-Herreweghe-Grunder-Arrigo.png       192 x 80</t>
  </si>
  <si>
    <t>New Jersey Electric Vehicle 101 Webinar</t>
  </si>
  <si>
    <t>NJ-EV</t>
  </si>
  <si>
    <t>2020/10/01  17:00 – 18:00 EDT</t>
  </si>
  <si>
    <t>ENJ-EV-Webinar.png   152 x 149</t>
  </si>
  <si>
    <t>Curious about what it&amp;rsquo;s like to own an EV?</t>
  </si>
  <si>
    <t>Environment New Jersey</t>
  </si>
  <si>
    <t>2020/10/02 – 08 (Postponed from 06/08 – 14)</t>
  </si>
  <si>
    <t>Moved up and made virtual</t>
  </si>
  <si>
    <t>ITS World Congress 2020</t>
  </si>
  <si>
    <t>Yes, because of “Emerging Leaders Program”</t>
  </si>
  <si>
    <t>The 2020 Global Innovation Competition &amp;mdash; ALL ACCESS</t>
  </si>
  <si>
    <t>2020/03/18 (extended from 03/11)</t>
  </si>
  <si>
    <t>https://www.itscanada.ca/events/event-list.html</t>
  </si>
  <si>
    <t>Emerging Leaders Program</t>
  </si>
  <si>
    <t>FOR HIGH-SCHOOL, UNDERGRADUATE, AND GRADUATE STUDENTS (and teams of students)</t>
  </si>
  <si>
    <t>AV 20 Autonomous Vehicles Detroit</t>
  </si>
  <si>
    <t>AV-20</t>
  </si>
  <si>
    <t>&lt;strike&gt;Novi, MI&lt;/strike&gt; &lt;i&gt;Virtual&amp;#8209;Cyberspace</t>
  </si>
  <si>
    <t>2020/08/11 – 12        (was 10/05 – 07)</t>
  </si>
  <si>
    <t>AV20-orig.png   280 x 102</t>
  </si>
  <si>
    <t>The Infrastructure and Technologies Enabling  AVs in the Public Domain</t>
  </si>
  <si>
    <t>1-800-882-8684</t>
  </si>
  <si>
    <t>Automotive iQ</t>
  </si>
  <si>
    <t>SAE CEU Course:  Accident Reconstruction, the Autonomous Vehicle and ADAS</t>
  </si>
  <si>
    <t>c1869-20-10</t>
  </si>
  <si>
    <t>&lt;strike&gt;Boston, MA&lt;/strike&gt; &lt;i&gt;Live&amp;nbsp;online&lt;/i&gt;</t>
  </si>
  <si>
    <t>2020/10/05 – 06</t>
  </si>
  <si>
    <t>Alan-Moore.png    76 x 100</t>
  </si>
  <si>
    <t>After the crash, you need to know if an autonomous &amp;hellip; system &amp;hellip; affected the outcome of the accident.</t>
  </si>
  <si>
    <t>Free Webinar: AMETEK:  Methods and Instrumentation for Testing Li-ion Batteries, Materials to Modules</t>
  </si>
  <si>
    <t>AMETEK; Materials-Modules</t>
  </si>
  <si>
    <t>2020/10/07 10:00 – 11:00 EDT</t>
  </si>
  <si>
    <t>Rob-Sides-2.png               81 x 120</t>
  </si>
  <si>
    <t>&lt;b&gt;Rob&amp;nbsp;Sides&lt;/b&gt;, Director, Marketing &amp; Product Management at AMETEK</t>
  </si>
  <si>
    <t>Sealant</t>
  </si>
  <si>
    <t>2020/10/07 14:00 EDT</t>
  </si>
  <si>
    <t>Burton-Campbell.png   162 x 128</t>
  </si>
  <si>
    <t>Learn how to overcome current challenges and stay competitive in these changing times with our webinar.</t>
  </si>
  <si>
    <t>AltCar Expo &amp;mdash; Special Agency Update Session</t>
  </si>
  <si>
    <t>AltCarExpo</t>
  </si>
  <si>
    <t>2020/10/07 13:00 PDT</t>
  </si>
  <si>
    <t>AltCarExpo-Round.png   129 x 129</t>
  </si>
  <si>
    <t>For event next April</t>
  </si>
  <si>
    <t>SAE Free Webinar:  Standardization for Automated-Vehicle Testing and Simulation</t>
  </si>
  <si>
    <t>Testing-Simul</t>
  </si>
  <si>
    <t>2020/10/08  12:00 – 13:00 EDT</t>
  </si>
  <si>
    <t>Engel-Smith-Wishart-Arrigo-2.png    301 x 104</t>
  </si>
  <si>
    <t>Battery Seminar 2020</t>
  </si>
  <si>
    <t>2020/10/06 – 08 (Postponed from 07/21–23)</t>
  </si>
  <si>
    <t>Postponed again</t>
  </si>
  <si>
    <t>Day 1:  October 6:  Battery Training Tutorials</t>
  </si>
  <si>
    <t>Day 2:  October 7:  Energy Storage Systems in Automotive Applications</t>
  </si>
  <si>
    <t>Networking Pass (no seminar access) for 10/07 only  $200</t>
  </si>
  <si>
    <t>Day 3:  October 8:  Energy StorageSystems in Stationary Grid/Utility Applications</t>
  </si>
  <si>
    <t>2020/10/08 – 09</t>
  </si>
  <si>
    <t>25&lt;sup&gt;th&lt;/sup&gt;th International Conference on Magnetically Levitated Systems and Linear Drives, MAGLEV 2020</t>
  </si>
  <si>
    <t>MAGLEV-2020</t>
  </si>
  <si>
    <t>Changsha, China</t>
  </si>
  <si>
    <t>Postponed from 2020/10/12–14 to November</t>
  </si>
  <si>
    <t>Changsha-China.png   118 x 107</t>
  </si>
  <si>
    <t>&amp;hellip; constructive discussion on the prosspects of magnetic levitation technologies and linear motors in transport and industry.</t>
  </si>
  <si>
    <t>Hunan Maglev Research Center</t>
  </si>
  <si>
    <t>2020/03/31 (extended from 02/28, 02/10)</t>
  </si>
  <si>
    <t>Cultural Program</t>
  </si>
  <si>
    <t>2020/10/15</t>
  </si>
  <si>
    <t>ISSE 2020 (IEEE International Symposium on Systems Engineering)</t>
  </si>
  <si>
    <t>ISSE</t>
  </si>
  <si>
    <t>&lt;strike&gt;Vienna, Austria&lt;/strike&gt; &lt;i&gt;Virtual&amp;#8209;Cyberspace</t>
  </si>
  <si>
    <t>2020/10/12 – 11/12</t>
  </si>
  <si>
    <t>ISSE-2020.png   259 x 259</t>
  </si>
  <si>
    <t>&amp;hellip;  multiple disciplines and specialty areas associated with the engineering of complex systems.</t>
  </si>
  <si>
    <t>Special-Session Proposals:  2020/05/26 (extended from 04/26)</t>
  </si>
  <si>
    <t>10&lt;sup&gt;th&lt;/sup&gt; Battery Safety Summit (Save the Date)</t>
  </si>
  <si>
    <t>Battery-Safety</t>
  </si>
  <si>
    <t>Arlington, VA</t>
  </si>
  <si>
    <t>2020/10/13 – 16</t>
  </si>
  <si>
    <t>Battery-Safe-Summit.png   205 x 212</t>
  </si>
  <si>
    <t>Implementing Lithium-Ion Battery Saftey to meet Increasing Energy Demands</t>
  </si>
  <si>
    <t>P: 781.972.5400</t>
  </si>
  <si>
    <t>Cambridge Enertech</t>
  </si>
  <si>
    <t>F: 781.972.5425</t>
  </si>
  <si>
    <t>2019/10/??</t>
  </si>
  <si>
    <t>Only between 20 and 40 percent of lithium-ion batteries &amp;hellip; are recycled in the United States. &amp;hellip; the process of recycling them is not yet economic &amp;hellip;</t>
  </si>
  <si>
    <t>Victoria Mosolgo, Conference Producer</t>
  </si>
  <si>
    <t xml:space="preserve"> (+1) 781. 972.1346</t>
  </si>
  <si>
    <t>Session:  Post-Incident Investigations</t>
  </si>
  <si>
    <t>&amp;hellip; battery safety incidents are rare, they are a serious cause for concern.  &amp;hellip;  It is important to understand &amp;hellip; so that they can be prevented in the future.</t>
  </si>
  <si>
    <t>Sherry Johnson  Senior Business Development Manager</t>
  </si>
  <si>
    <t>781.972.1359</t>
  </si>
  <si>
    <t>Webinar:  The Evolution of Battery Technology</t>
  </si>
  <si>
    <t>Evol-Bat-Tech</t>
  </si>
  <si>
    <t>2020/10/14 15:00 – 17:00 CEST  (09:00–11:00 EDT)</t>
  </si>
  <si>
    <t>Witkamp-Payani-Normark-Omar.png   160 x 242</t>
  </si>
  <si>
    <t>https://avere.org/calendar/</t>
  </si>
  <si>
    <t>Bert-Witkamp.png  80 x120</t>
  </si>
  <si>
    <t>Succesful-Pilot</t>
  </si>
  <si>
    <t>2020/10/14 10:00 PDT  (13:00 EDT)</t>
  </si>
  <si>
    <t>Carr-Kelly.png   172 x 120</t>
  </si>
  <si>
    <t>Act News Webinars</t>
  </si>
  <si>
    <t>C1704-20-10</t>
  </si>
  <si>
    <t>San Antonio, TX</t>
  </si>
  <si>
    <t>Panel discussion (Webinar):&amp;nbsp;  Electrifying transport through cross-sector collaboration</t>
  </si>
  <si>
    <t>XS-Collaboration</t>
  </si>
  <si>
    <t>2020/10/15  07:00 EDT</t>
  </si>
  <si>
    <t>Excell-Oldham-Aremesmith-Drury-Greaney-Morgan.png  307 x 242</t>
  </si>
  <si>
    <t>The benefits and challenges of cross-sector collaboration</t>
  </si>
  <si>
    <t>The Engineer (UK)</t>
  </si>
  <si>
    <t>T-Camp-NYC</t>
  </si>
  <si>
    <t>2020/10/17</t>
  </si>
  <si>
    <t>TechConnect Europe Innovation Conference &amp; Expo</t>
  </si>
  <si>
    <t>TechConnect-Eu</t>
  </si>
  <si>
    <t>Malm&amp;ouml;, Sweden</t>
  </si>
  <si>
    <t>2020/10/19 – 21</t>
  </si>
  <si>
    <t>TechConnect-Eu.png          289 x 55</t>
  </si>
  <si>
    <t xml:space="preserve">Accelerating the global innovation community </t>
  </si>
  <si>
    <t>Postponed to 2021</t>
  </si>
  <si>
    <t>SAE Free Webinar:  Designing for an Electric Aircraft Future</t>
  </si>
  <si>
    <t>Electric-Aircraft</t>
  </si>
  <si>
    <t>2020/10/20  12:00 – 13:00 EDT</t>
  </si>
  <si>
    <t>Graves-Karbowski-Marjadi-Arrigo-2.png    254 x 82</t>
  </si>
  <si>
    <t>&lt;strike&gt;Las Vegas, NV&lt;/strike&gt; &lt;i&gt;Virtual&amp;#8209;Cyberspace</t>
  </si>
  <si>
    <t>2020/10/20-23 (Postponed from 2020/06/23–26)</t>
  </si>
  <si>
    <t>Reducing the Cost of Medium- and Heavy-Duty EVs and Speeding up ROI</t>
  </si>
  <si>
    <t>Reducing-Cost</t>
  </si>
  <si>
    <t>2020/10/21  13:00 – 14:00 EDT  (10:00 – 11:00 PDT)</t>
  </si>
  <si>
    <t>Rios-Keehan.png   172 x 120</t>
  </si>
  <si>
    <t>Capability Statement Webinar Event</t>
  </si>
  <si>
    <t>Capability</t>
  </si>
  <si>
    <t>2020/10/21  14:00 – 15:00 EDT</t>
  </si>
  <si>
    <t>Sam-Beta-Gov-Hat.png       108 x 82</t>
  </si>
  <si>
    <t>Large-Scale</t>
  </si>
  <si>
    <t>2020/10/21 13:00 PDT  (16:00 EDT)</t>
  </si>
  <si>
    <t>Kotler-Bui-Shao.png     174 x 120</t>
  </si>
  <si>
    <t>Free Webinar:&amp;nbsp; Parking as Integral Part of the Seamless Travelling Experience</t>
  </si>
  <si>
    <t>Parking</t>
  </si>
  <si>
    <t>2020/10/27  14:00–15:30 CET  (09:00–10:30 EDT)</t>
  </si>
  <si>
    <t>Mertiny-Brusseaux-Van-der-Meer-Hutton-3.png   192 x 228</t>
  </si>
  <si>
    <t>Mertiny-Brusseaux-Van-der-Meer-Hutton.png   197 x 228</t>
  </si>
  <si>
    <t>Moderated by; &lt;b&gt;Paul&amp;nbsp;Hutton&lt;/b&gt;</t>
  </si>
  <si>
    <t>SmartCities; SmartCitiesFall</t>
  </si>
  <si>
    <t>&lt;strike&gt;National Harbor, MD&lt;/strike&gt; Virtual&amp;nbsp;Cyberspace</t>
  </si>
  <si>
    <t>2020/10/27 – 29 (Moved up from 2020/11/16–19)</t>
  </si>
  <si>
    <t>Colocated with previous and next events</t>
  </si>
  <si>
    <t>2020/06/12 (extended from 05/15)</t>
  </si>
  <si>
    <t>SAE CEU Course:  Advanced Power Electronics in Automotive Applications</t>
  </si>
  <si>
    <t>C1872-20-10</t>
  </si>
  <si>
    <t>2020/10/28 – 29</t>
  </si>
  <si>
    <t>Caisheng-Wang-2.png  93 x 120</t>
  </si>
  <si>
    <t>&amp;hellip; power electronics has become one of the most important areas of the automotive subsystem &amp;hellip;</t>
  </si>
  <si>
    <t>Instructor:  Caisheng Wang</t>
  </si>
  <si>
    <t>2020/10/28 – 30 (Postponed from 06/24–26)</t>
  </si>
  <si>
    <t>2020/09/01 (extended from 05/01)</t>
  </si>
  <si>
    <t>IEEE TEC Webinar:&amp;nbsp; Advanced Linear Induction Machines and Drive Systems for Transportation</t>
  </si>
  <si>
    <t>Lin-Induc-Machines</t>
  </si>
  <si>
    <t>2020/10/28 08:00 – 09:30 EDT</t>
  </si>
  <si>
    <t>Wei-Xu.png       75 x 120</t>
  </si>
  <si>
    <t>AVG Free Webinar:&amp;nbsp; How Renewable Gases Can Help Decentralize the Grid: Fuel Cells and Microgrids</t>
  </si>
  <si>
    <t>Decentralize</t>
  </si>
  <si>
    <t>2020/10/28  13:00 – 14:15 EDT  (10:00 – 11:15 PDT)</t>
  </si>
  <si>
    <t>Fritz-Venkataraman-Elizondo-Wolak.png  191 x 205</t>
  </si>
  <si>
    <t>Free Webinare:&amp;nbsp; Multiphysics modeling of fuel cells</t>
  </si>
  <si>
    <t>Multiphysics</t>
  </si>
  <si>
    <t>2020/10/29   14:00 EDT</t>
  </si>
  <si>
    <t>Koppenhoefer-Gritter-Rao.png       266 x 112</t>
  </si>
  <si>
    <t>https://chargedevs.com/newswire/</t>
  </si>
  <si>
    <t>Cerf</t>
  </si>
  <si>
    <t>&lt;i&gt;Online&amp;nbsp;only&lt;/i&gt;</t>
  </si>
  <si>
    <t>2020/10/30 19:00 – 21:00 EDT</t>
  </si>
  <si>
    <t>Vint-Cerf.png  101 x 120</t>
  </si>
  <si>
    <t>&lt;strike&gt;Delft, Netherlands&lt;/strike&gt;&lt;i&gt; Virtual&amp;nbsp;Cyberspace&lt;/i&gt;</t>
  </si>
  <si>
    <t>2020/11/03 – 05</t>
  </si>
  <si>
    <t>&lt;strike&gt;San Francisco, CA&lt;/strike&gt;&lt;i&gt; Virtual&amp;nbsp;Cyberspace&lt;/i&gt;</t>
  </si>
  <si>
    <t>2020/11/03 – 05  (Start date was 11/02)</t>
  </si>
  <si>
    <t>Will be made virtual</t>
  </si>
  <si>
    <t>C0626-20-11a</t>
  </si>
  <si>
    <t>2020/11/04 – 05 (Moved up from 11/23–24)</t>
  </si>
  <si>
    <t>Full Fee:  $1,299  –  SAE members: $1,169</t>
  </si>
  <si>
    <t>Multi-Unit</t>
  </si>
  <si>
    <t>2020/11/05  13:00 – 14:00 EST</t>
  </si>
  <si>
    <t>LiveGreen-Toolkit.png   210 x 141</t>
  </si>
  <si>
    <t>Live Green</t>
  </si>
  <si>
    <t>AVERE E-Mobility Conference 2020 (AEC2020)</t>
  </si>
  <si>
    <t>AEC2020; AVERE</t>
  </si>
  <si>
    <t>2020/09/10</t>
  </si>
  <si>
    <t>Postponed slightly</t>
  </si>
  <si>
    <t>Virtual ITS European Congress</t>
  </si>
  <si>
    <t>ITS-Eu-Virt</t>
  </si>
  <si>
    <t>2020/11/09 – 10</t>
  </si>
  <si>
    <t>ITS-European-Virtual-Congress.png   200 x 106</t>
  </si>
  <si>
    <t>From a challenge to an opportunity</t>
  </si>
  <si>
    <t>https://erticonetwork.com/from-a-challenge-to-an-opportunity-the-virtual-its-european-congress/</t>
  </si>
  <si>
    <t>2020/11/09 – 12</t>
  </si>
  <si>
    <t>Free Webinar:&amp;nbsp; The Business Case for EVs: How EVs can give your business a competitive advantage</t>
  </si>
  <si>
    <t>Business-Case</t>
  </si>
  <si>
    <t>2020/11/09  12:00 EST</t>
  </si>
  <si>
    <t>Fischer-Rawlings-Avellar.png   260 x 118</t>
  </si>
  <si>
    <t>Hayley Berliner</t>
  </si>
  <si>
    <t>Environment New Jersey Research &amp; Policy Center</t>
  </si>
  <si>
    <t>TRB Webinar:&amp;nbsp; Advancing Innovative Automated Vehicles and Shared Mobility Research</t>
  </si>
  <si>
    <t>Shared-Mobility</t>
  </si>
  <si>
    <t>2020/11/09 13:00 – 15:00 EST</t>
  </si>
  <si>
    <t>Kortum-Davey-Lybarger-Nambisan-Jones.png       431 x 113</t>
  </si>
  <si>
    <t>$95 fee for some people
2.0 Professional Development Hours (PDHs)</t>
  </si>
  <si>
    <t>Kortum-Davey-Every-Nambisan-Jones.png       443 x 113</t>
  </si>
  <si>
    <t>SAE CEU Course:  Principles of Cost and Finance for Engineers</t>
  </si>
  <si>
    <t>C0828-20-11</t>
  </si>
  <si>
    <t>2020/11/09 – 20 (was 16-18)</t>
  </si>
  <si>
    <t>James-Masiak.png    84 x 100</t>
  </si>
  <si>
    <t>&amp;hellip; it is critical that engineers possess a working knowledge of engineering economics principles.</t>
  </si>
  <si>
    <t>Made Virtual</t>
  </si>
  <si>
    <t>Full Fee:  $1,699  –  SAE members: $1,259</t>
  </si>
  <si>
    <t>C1630-20-11</t>
  </si>
  <si>
    <t>2020/11/10 – 11</t>
  </si>
  <si>
    <t>Small Powertrain and Energy Systems Technology Conference</t>
  </si>
  <si>
    <t>Small-Powertrains</t>
  </si>
  <si>
    <t>Minneapolis, MN</t>
  </si>
  <si>
    <t>2020/11/10 – 12</t>
  </si>
  <si>
    <t>Small-Powertrains.png   161 x 95</t>
  </si>
  <si>
    <t>&amp;hellip; most promising new technologies &amp;hellip; for the small engine segment.</t>
  </si>
  <si>
    <t>2020/04/07</t>
  </si>
  <si>
    <t>2020 Create the Future Contest Awards</t>
  </si>
  <si>
    <t>CtF-Awards</t>
  </si>
  <si>
    <t>2020/11/10  11:00 – 12:00 EST</t>
  </si>
  <si>
    <t>CreateTheFuture-margin.png 207 x 227</t>
  </si>
  <si>
    <t>TechBriefs</t>
  </si>
  <si>
    <t>online</t>
  </si>
  <si>
    <t>VIVA Technology (previous Hosting Event)  Now postponed to 2021</t>
  </si>
  <si>
    <t>2020/04/30</t>
  </si>
  <si>
    <t>2020/11/12  14:15 CET</t>
  </si>
  <si>
    <t>Electronomous.png               431 x 134</t>
  </si>
  <si>
    <t>Workplace</t>
  </si>
  <si>
    <t>2020/11/12  13:00 – 14:00 EST</t>
  </si>
  <si>
    <t>Free Webinar:&amp;nbsp; The rapidly advancing field of batteries for electric vehicles</t>
  </si>
  <si>
    <t>Rapidly-Advancing</t>
  </si>
  <si>
    <t>2020/11/12  14:00 – 15:00 EST</t>
  </si>
  <si>
    <t>R-D-100.png   142 x 178</t>
  </si>
  <si>
    <t>Simulation-Driven Design of a Hyperloop Capsule Motor</t>
  </si>
  <si>
    <t>Hyperloop-Capsule</t>
  </si>
  <si>
    <t>DSLIM.png   208 x 145</t>
  </si>
  <si>
    <t>Bi-Directional</t>
  </si>
  <si>
    <t>2020/11/12  14:00 – 15:00 EST (11:00 – 12:00  PST)</t>
  </si>
  <si>
    <t>Michael-McNally.png   94 x 120</t>
  </si>
  <si>
    <t>https://findmanufacturingbuyers.com/</t>
  </si>
  <si>
    <t>TRB Free Webinar:&amp;nbsp; Celebrating TRB&amp;rsquo;s Centennial by Exploring the Future of Transportation Research</t>
  </si>
  <si>
    <t>TRB-Future-Research</t>
  </si>
  <si>
    <t>2020/11/12 15:00 – 16:30 EST</t>
  </si>
  <si>
    <t>Deen-Skinner-Bradley-plus-six.png          292 x 348</t>
  </si>
  <si>
    <t>Tom Deen, Former Executive Director (1980-1994), TRB</t>
  </si>
  <si>
    <t>Reggie Gillum</t>
  </si>
  <si>
    <t>Bob Skinner, Former Executive Director (1994-2015), TRB</t>
  </si>
  <si>
    <t>Curtis Bradley, Research Implementation Manager, North Carolina Department of Transportation</t>
  </si>
  <si>
    <t>Alison Conway, Associate Professor, City College of New York</t>
  </si>
  <si>
    <t>Nikola Ivanov, Director of Operations/COO, Center for Advanced Transportation Technology Laboratory, University of Maryland</t>
  </si>
  <si>
    <t>Joung Lee, Policy Director, American Association of State Highway and Transportation Officials</t>
  </si>
  <si>
    <t>Lucy Priddy, Program Officer, U.S. Army Corps of Engineers</t>
  </si>
  <si>
    <r>
      <rPr>
        <i/>
        <sz val="11"/>
        <color indexed="8"/>
        <rFont val="Calibri"/>
        <family val="2"/>
      </rPr>
      <t>Questions and answers</t>
    </r>
    <r>
      <rPr>
        <sz val="11"/>
        <color indexed="8"/>
        <rFont val="Calibri"/>
        <family val="2"/>
      </rPr>
      <t>: Moderated by Sandra Larson, Transportation Innovation Strategies Leader, Stanley Consultants</t>
    </r>
  </si>
  <si>
    <t xml:space="preserve"> . . . and, Neil Pedersen, Executive Director, TRB</t>
  </si>
  <si>
    <t>T-Camp-PIT</t>
  </si>
  <si>
    <t>2020/11/14</t>
  </si>
  <si>
    <t>IEEE VT Magazine Special Issue</t>
  </si>
  <si>
    <t>IEEE-VT-Mag</t>
  </si>
  <si>
    <t>Papers due 2020/11/15</t>
  </si>
  <si>
    <t>IEEE-VT-Mag.png     280 x 111</t>
  </si>
  <si>
    <t>&amp;hellip; Special Issue on Recent Advances in Motion Control, Estimation, and Diagnosis for Automated Vehicles</t>
  </si>
  <si>
    <t>(Aerial Mobility Issue will also be made)</t>
  </si>
  <si>
    <t>2020/11/15</t>
  </si>
  <si>
    <t>IEEE VT Magazine</t>
  </si>
  <si>
    <t>2020/11/16 - 18</t>
  </si>
  <si>
    <t>Full Fee:  $1,795  –  membership and multi-course discounts available</t>
  </si>
  <si>
    <t>C1732-20-11</t>
  </si>
  <si>
    <t>Oxnard, CA</t>
  </si>
  <si>
    <t>2020/11/16</t>
  </si>
  <si>
    <t>Instructor: Mark Quarto</t>
  </si>
  <si>
    <t>Defense TechConnect Innovation Summit and Expo</t>
  </si>
  <si>
    <t>DTCFall</t>
  </si>
  <si>
    <t>2020/11/17 – 19 (Start date was, for a while, 11/16)</t>
  </si>
  <si>
    <t>Defence-Innov-Tech-Accel.png     144 x 144</t>
  </si>
  <si>
    <t>Connecting the top DOD offices with the world&amp;rsquo;s best technologies.</t>
  </si>
  <si>
    <t>Colocated with next event</t>
  </si>
  <si>
    <t>https://events.techconnect.org/DTCFall/contact.html</t>
  </si>
  <si>
    <t>Panel Proposals</t>
  </si>
  <si>
    <t>Poster Submission</t>
  </si>
  <si>
    <t>2020/11/16 – 19 (Start date moved up from 11/17)</t>
  </si>
  <si>
    <t>SBIR/STTR FALL Innovation Summit</t>
  </si>
  <si>
    <t>SBIR/STTR-Summit</t>
  </si>
  <si>
    <t>2020/11/17 – 19</t>
  </si>
  <si>
    <t>Fall SBIR-STTR Innovation-18.png           133 x 102</t>
  </si>
  <si>
    <t>Delivering Innovation &amp;ndash; Accelerating Commercialization
Innovation &amp;bull; Investment &amp;bull; Acceleration</t>
  </si>
  <si>
    <t>Colocated with previous event</t>
  </si>
  <si>
    <t>https://techconnect.org/events/</t>
  </si>
  <si>
    <t>&lt;strike&gt;Brussels, Belgium&lt;/strike&gt;&lt;i&gt;Virtual&amp;nbsp;Cyberspace&lt;/i&gt;</t>
  </si>
  <si>
    <t>2020/11/17 – 19 (Now on separate days, 11/17 &amp; 11/9; Postponed from 09–10)</t>
  </si>
  <si>
    <t>c1869-20-11</t>
  </si>
  <si>
    <t>&lt;i&gt;Live&amp;nbsp;online&lt;/i&gt;</t>
  </si>
  <si>
    <t>2020/11/18 – 19</t>
  </si>
  <si>
    <t>Full Fee:  $599  –  SAE members: $539</t>
  </si>
  <si>
    <t>2020 IEEE 92&lt;sup&gt;nd&lt;/sup&gt; Vehicular Technology Conference: VTC2020-Fall</t>
  </si>
  <si>
    <t>VTC-Fall; VTC2020-Fall</t>
  </si>
  <si>
    <t>&lt;strike&gt;Victoria, BC, Canada&lt;/strike&gt; &lt;i&gt;Virtual&amp;#8209;Cyberspace</t>
  </si>
  <si>
    <t>2020/11/18 – 12/16 (was 10/04–07)</t>
  </si>
  <si>
    <t>Intelligent Connection &amp; Transportation</t>
  </si>
  <si>
    <t>Contact the Committees</t>
  </si>
  <si>
    <t>http://www.vtsociety.org/</t>
  </si>
  <si>
    <t>No (Yes, for NSF Student Travel Grants)</t>
  </si>
  <si>
    <t>5-page paper only:  2020/06/08 (moved from 06/15; extended from 06/08 and 05/18)</t>
  </si>
  <si>
    <t>Gerhard Bauch, Chair</t>
  </si>
  <si>
    <t>5-pg full paper, extra fee for 6 or 7 pages, due:  2020/06/01 (extended from 05/11)</t>
  </si>
  <si>
    <t>2020/07/20</t>
  </si>
  <si>
    <t>2020 3&lt;sup&gt;rd&lt;/sup&gt; IEEE Connected and Automated Vehicles Symposium</t>
  </si>
  <si>
    <t>CAVS</t>
  </si>
  <si>
    <t>2020/11/18 – 12/16 (was 10/04–11/30) (end date changed from 10/05)</t>
  </si>
  <si>
    <t>IEEE-CAVs.png   110 x 64</t>
  </si>
  <si>
    <t>&amp;hellip; vehicle technology has entered a new era of connected and automated vehicles (CAVs).</t>
  </si>
  <si>
    <t>The IEEE Vehicular Power and Propulsion 2020 (VPPC 2020)</t>
  </si>
  <si>
    <t>VPPC</t>
  </si>
  <si>
    <t>&lt;strike&gt;Gij&amp;oacute;n, Spain&lt;/strike&gt; Virtual&amp;nbsp;Cyberspace</t>
  </si>
  <si>
    <t>2020/11/18 – 12/16 (was 10/26–12/18, 10/26–29)</t>
  </si>
  <si>
    <t>VPPC2020.png   120 x 73</t>
  </si>
  <si>
    <t>&amp;hellip; interactive and multidisciplinary discussions on electrified vehicle power, propulsion and related technologies.</t>
  </si>
  <si>
    <t>2020/05/15 (extended from 04/15)</t>
  </si>
  <si>
    <t>2020/05/15 (extended from 03/30 and 03/15, moved up from 03/30; extended from 02/24)</t>
  </si>
  <si>
    <t>2020/05/18 (extended from 03/30 nd 02/24)</t>
  </si>
  <si>
    <t>2020/07/03</t>
  </si>
  <si>
    <t>C0626-20-11</t>
  </si>
  <si>
    <t>2020/11/23 – 24</t>
  </si>
  <si>
    <t>2020/11/23  (Postponed from 04/20)</t>
  </si>
  <si>
    <t>2020 Conference on Electrical Machines and Systems</t>
  </si>
  <si>
    <t>ICEMS</t>
  </si>
  <si>
    <t>Hamamatsu, Japan</t>
  </si>
  <si>
    <t>2020/11/24 – 27</t>
  </si>
  <si>
    <t>ICEMS-Hamamatsu-2020.png           395 x 192</t>
  </si>
  <si>
    <t>&amp;hellip; electrical machines and their related systems (electrical rotating and other machines, motor drives, power electronics, &amp;hellip;</t>
  </si>
  <si>
    <t>One-Page Digests due:  2020/03/31 (extended from 03/22 and 03/01)</t>
  </si>
  <si>
    <t>IEEE Industry Applications Society (IAS)</t>
  </si>
  <si>
    <t>Special Session on  Direct Drive and Magnetic Levitation Technologies:  http://icems2019admin.dodoevent.com/ckfinder/userfiles/files/Direct%20Drive%20and%20Magnetic%20Levitation%20Technologies.pdf</t>
  </si>
  <si>
    <t>One-Page Digests due:  TBD</t>
  </si>
  <si>
    <t>IEEE – ESARS ITEC 2020(Electrical Systems for Aircraft, Railway, Ship Propulsion and Road Vehicles; International Transportation Electrification Conference)</t>
  </si>
  <si>
    <t>ESARS; ESARS-ITEC</t>
  </si>
  <si>
    <t>Venice, Italy</t>
  </si>
  <si>
    <t>2020/11/30 – 12/03</t>
  </si>
  <si>
    <t>Esars-2018.png     239 x 92</t>
  </si>
  <si>
    <t>&amp;hellip; electrical systems for aerospace, railways, ship propulsion and road vehicles.</t>
  </si>
  <si>
    <t>+39 040.5587976</t>
  </si>
  <si>
    <t>Provisional full – papers (regular ses-sions) due 2018/07/03 (final extension)</t>
  </si>
  <si>
    <t>2020/11/30 – 12/04</t>
  </si>
  <si>
    <t>Full Fee:  $2,499  –  SAE members: $2,249</t>
  </si>
  <si>
    <t>2020/12/01 – 04</t>
  </si>
  <si>
    <t>2020/06/01 (extended from 03/15 and 02/29)</t>
  </si>
  <si>
    <t>Free Webinar: The Billion Dollar Battery Bet and How to Get it Right for Your Product</t>
  </si>
  <si>
    <t>Battery-Bet</t>
  </si>
  <si>
    <t>2020/12/02 10:00 – 11:00 EST</t>
  </si>
  <si>
    <t>Tal-Sholklapper.png   89 x 120</t>
  </si>
  <si>
    <t>&lt;b&gt;Dr.&amp;nbsp;Tal&amp;nbsp;Sholklapper&lt;/b&gt;, CEO at Voltaiq</t>
  </si>
  <si>
    <t>Veh-Elec</t>
  </si>
  <si>
    <t>2020/12/02  14:00 – 14:30  EST</t>
  </si>
  <si>
    <t>Roever-Bahuguna-Arrigo.png    270 x 104</t>
  </si>
  <si>
    <t>SAE CEU Course:  Leading High Performance Teams</t>
  </si>
  <si>
    <t>C0410-20-12</t>
  </si>
  <si>
    <t>2020/12/07 – 08</t>
  </si>
  <si>
    <t>Joseph-Doyle.png       81 x 100</t>
  </si>
  <si>
    <t>During product development, &amp;hellip; there is a high potential for conflict between participants in the process.</t>
  </si>
  <si>
    <t>C1603-20-12</t>
  </si>
  <si>
    <t>&lt;strike&gt;Oxnard, CA&lt;/strike&gt; &lt;i&gt;Live&amp;nbsp;online&lt;/i&gt;</t>
  </si>
  <si>
    <t>ADAS; ADAS-to-Autom-Driving</t>
  </si>
  <si>
    <t>2020/12/08 – 09</t>
  </si>
  <si>
    <t>ADAS-2-A-D.png             141 x 141</t>
  </si>
  <si>
    <t>2020/12/09 – 11 (Postponed from 09/16 – 19,  06/17–20, and 04/29–05/02)</t>
  </si>
  <si>
    <t>C1893-20-12</t>
  </si>
  <si>
    <t>2020/12/09</t>
  </si>
  <si>
    <t>Free Webinar:  A Holistic Approach to Battery Modeling and State Estimation</t>
  </si>
  <si>
    <t>Holistic</t>
  </si>
  <si>
    <t>2020/12/09 08:00 – 09:30 EST</t>
  </si>
  <si>
    <t>Balagopal-Chow.png   165 x 120</t>
  </si>
  <si>
    <t>Webinar: Battery Modeling &amp;ndash; Electrical and Thermal Models</t>
  </si>
  <si>
    <t>Elec-Therm-Models</t>
  </si>
  <si>
    <t>2020/12/09 10:00 – 11:00 EST</t>
  </si>
  <si>
    <t>Aymen-Souissi.png    78 x 96</t>
  </si>
  <si>
    <t>&lt;b&gt;Aymen&amp;nbsp;Souissi&lt;/b&gt;, Thermal Mngmt. Expert at Avesta Bat. &amp; Energy Eng. (ABEE)</t>
  </si>
  <si>
    <t>Next-Gen</t>
  </si>
  <si>
    <t>2020/12/09  14:00 – 15:00  EST</t>
  </si>
  <si>
    <t>Ohl-Thibeault-Arrigo.png    329 x 104</t>
  </si>
  <si>
    <t>C1627-20-12</t>
  </si>
  <si>
    <t>2020/12/10 – 11</t>
  </si>
  <si>
    <t>Full Fee:  $1,299 – membership and multi-course discounts available</t>
  </si>
  <si>
    <t>Path-Auton-Drv</t>
  </si>
  <si>
    <t>2020/12/15  14:00 CET  (08:00 EST)</t>
  </si>
  <si>
    <t>Weijer-Martens-Bishop-Nuyttens.png   370 x 111</t>
  </si>
  <si>
    <t>Electric Vehicle Summit 2020</t>
  </si>
  <si>
    <t>&lt;strike&gt;Oxford, England, UK&lt;/strike&gt; &lt;i&gt;Virtual&amp;nbsp;Cyberspace&lt;/i&gt;</t>
  </si>
  <si>
    <t>2020/12/15 – 16</t>
  </si>
  <si>
    <t>Future-Driven</t>
  </si>
  <si>
    <t>2020/12/15  11:00 – 12:00 EST</t>
  </si>
  <si>
    <t>Reuss-Reynolds-Bozzella-Bailo-Krebs-Krueger.png    510 x 110</t>
  </si>
  <si>
    <t>Alliance for Automotive Innovation</t>
  </si>
  <si>
    <t xml:space="preserve">https://www.autosinnovate.org/ </t>
  </si>
  <si>
    <t>Charger-Software</t>
  </si>
  <si>
    <t>2020/12/15  14:00 EST</t>
  </si>
  <si>
    <t>Conway-Hui.png           81 x 120</t>
  </si>
  <si>
    <t>Webinar:  2020 EV Review by Global Experts</t>
  </si>
  <si>
    <t>EV-Review</t>
  </si>
  <si>
    <t>2020/12/16 15:00 – 17:00 CET  (09:00–11:00 EST)</t>
  </si>
  <si>
    <t>Allen-Palmer-Kargas-Loogen-1.png  318 x 120</t>
  </si>
  <si>
    <t>High-Peak</t>
  </si>
  <si>
    <t>2020/12/16  09:00 – 10:00  EST</t>
  </si>
  <si>
    <t>Li-Arrigo.png  223 x 104</t>
  </si>
  <si>
    <t>Course 3 of 3:  Battery State of Health in Energy Storage Systems</t>
  </si>
  <si>
    <t>Battery-SOH</t>
  </si>
  <si>
    <t>2020/12/16 13:00 – 14:00 EST</t>
  </si>
  <si>
    <t>Stefan-Janhunen.png   79 x 120</t>
  </si>
  <si>
    <t>&lt;b&gt;Stefan&amp;nbsp;Janhunen&lt;b&gt;, Princ. SW Architect, Nuvation Energy</t>
  </si>
  <si>
    <t>Mostly for the</t>
  </si>
  <si>
    <t>For Transportation-</t>
  </si>
  <si>
    <t>Complete List of Events</t>
  </si>
  <si>
    <t>General Public</t>
  </si>
  <si>
    <t>Innovation Professionals</t>
  </si>
  <si>
    <t>and Event Calendars</t>
  </si>
  <si>
    <t>Events &amp; Expositions</t>
  </si>
  <si>
    <t>Upcoming Events</t>
  </si>
  <si>
    <t>List of upcoming events</t>
  </si>
</sst>
</file>

<file path=xl/styles.xml><?xml version="1.0" encoding="utf-8"?>
<styleSheet xmlns="http://schemas.openxmlformats.org/spreadsheetml/2006/main">
  <numFmts count="6">
    <numFmt numFmtId="164" formatCode="General"/>
    <numFmt numFmtId="165" formatCode="m/d/yyyy"/>
    <numFmt numFmtId="166" formatCode="General"/>
    <numFmt numFmtId="167" formatCode="h:mm"/>
    <numFmt numFmtId="168" formatCode="&quot;TRUE&quot;;&quot;TRUE&quot;;&quot;FALSE&quot;"/>
    <numFmt numFmtId="169" formatCode="[$$-409]#,##0.00;[RED]\-[$$-409]#,##0.00"/>
  </numFmts>
  <fonts count="31">
    <font>
      <sz val="11"/>
      <color indexed="8"/>
      <name val="Calibri"/>
      <family val="2"/>
    </font>
    <font>
      <sz val="10"/>
      <name val="Arial"/>
      <family val="0"/>
    </font>
    <font>
      <sz val="10"/>
      <color indexed="9"/>
      <name val="Calibri"/>
      <family val="2"/>
    </font>
    <font>
      <b/>
      <sz val="10"/>
      <color indexed="8"/>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b/>
      <sz val="24"/>
      <color indexed="8"/>
      <name val="Calibri"/>
      <family val="2"/>
    </font>
    <font>
      <sz val="12"/>
      <color indexed="8"/>
      <name val="Calibri"/>
      <family val="2"/>
    </font>
    <font>
      <u val="single"/>
      <sz val="10"/>
      <color indexed="39"/>
      <name val="Calibri"/>
      <family val="2"/>
    </font>
    <font>
      <sz val="10"/>
      <color indexed="19"/>
      <name val="Calibri"/>
      <family val="2"/>
    </font>
    <font>
      <sz val="10"/>
      <color indexed="63"/>
      <name val="Calibri"/>
      <family val="2"/>
    </font>
    <font>
      <b/>
      <sz val="11"/>
      <color indexed="9"/>
      <name val="Calibri"/>
      <family val="2"/>
    </font>
    <font>
      <sz val="11"/>
      <color indexed="18"/>
      <name val="Calibri"/>
      <family val="2"/>
    </font>
    <font>
      <sz val="11"/>
      <color indexed="59"/>
      <name val="Calibri"/>
      <family val="2"/>
    </font>
    <font>
      <i/>
      <sz val="11"/>
      <color indexed="8"/>
      <name val="Calibri"/>
      <family val="2"/>
    </font>
    <font>
      <b/>
      <sz val="11"/>
      <color indexed="18"/>
      <name val="Calibri"/>
      <family val="2"/>
    </font>
    <font>
      <b/>
      <sz val="11"/>
      <color indexed="59"/>
      <name val="Calibri"/>
      <family val="2"/>
    </font>
    <font>
      <b/>
      <sz val="11"/>
      <color indexed="8"/>
      <name val="Calibri"/>
      <family val="2"/>
    </font>
    <font>
      <sz val="10"/>
      <color indexed="8"/>
      <name val="Calibri"/>
      <family val="2"/>
    </font>
    <font>
      <sz val="11"/>
      <name val="Calibri"/>
      <family val="2"/>
    </font>
    <font>
      <b/>
      <sz val="11"/>
      <name val="Calibri"/>
      <family val="2"/>
    </font>
    <font>
      <i/>
      <sz val="11"/>
      <color indexed="18"/>
      <name val="Calibri"/>
      <family val="2"/>
    </font>
    <font>
      <sz val="10.5"/>
      <color indexed="59"/>
      <name val="Calibri"/>
      <family val="2"/>
    </font>
    <font>
      <i/>
      <sz val="11"/>
      <name val="Calibri"/>
      <family val="2"/>
    </font>
    <font>
      <sz val="12"/>
      <name val="Calibri"/>
      <family val="2"/>
    </font>
    <font>
      <sz val="5.1"/>
      <color indexed="8"/>
      <name val="Calibri"/>
      <family val="2"/>
    </font>
    <font>
      <u val="single"/>
      <sz val="11"/>
      <color indexed="12"/>
      <name val="Calibri"/>
      <family val="2"/>
    </font>
    <font>
      <b/>
      <sz val="8"/>
      <name val="Calibri"/>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11"/>
        <bgColor indexed="64"/>
      </patternFill>
    </fill>
    <fill>
      <patternFill patternType="solid">
        <fgColor indexed="41"/>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style="dotted">
        <color indexed="23"/>
      </right>
      <top style="dotted">
        <color indexed="23"/>
      </top>
      <bottom style="dotted">
        <color indexed="23"/>
      </bottom>
    </border>
    <border>
      <left>
        <color indexed="63"/>
      </left>
      <right>
        <color indexed="63"/>
      </right>
      <top style="dotted">
        <color indexed="23"/>
      </top>
      <bottom style="dotted">
        <color indexed="23"/>
      </bottom>
    </border>
    <border>
      <left style="dotted">
        <color indexed="23"/>
      </left>
      <right>
        <color indexed="63"/>
      </right>
      <top style="dotted">
        <color indexed="23"/>
      </top>
      <bottom style="dotted">
        <color indexed="23"/>
      </bottom>
    </border>
    <border>
      <left style="dotted">
        <color indexed="23"/>
      </left>
      <right style="dotted">
        <color indexed="23"/>
      </right>
      <top style="dotted">
        <color indexed="23"/>
      </top>
      <bottom style="dotted">
        <color indexed="23"/>
      </bottom>
    </border>
    <border>
      <left>
        <color indexed="63"/>
      </left>
      <right style="thin">
        <color indexed="23"/>
      </right>
      <top style="dotted">
        <color indexed="23"/>
      </top>
      <bottom style="dotted">
        <color indexed="23"/>
      </bottom>
    </border>
    <border>
      <left style="thin">
        <color indexed="23"/>
      </left>
      <right style="thin">
        <color indexed="8"/>
      </right>
      <top style="dotted">
        <color indexed="23"/>
      </top>
      <bottom style="dotted">
        <color indexed="23"/>
      </bottom>
    </border>
    <border>
      <left style="thin">
        <color indexed="8"/>
      </left>
      <right>
        <color indexed="63"/>
      </right>
      <top style="dotted">
        <color indexed="23"/>
      </top>
      <bottom style="dotted">
        <color indexed="23"/>
      </bottom>
    </border>
    <border>
      <left>
        <color indexed="63"/>
      </left>
      <right style="thin">
        <color indexed="8"/>
      </right>
      <top style="dotted">
        <color indexed="23"/>
      </top>
      <bottom style="dotted">
        <color indexed="2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dotted">
        <color indexed="23"/>
      </bottom>
    </border>
    <border>
      <left>
        <color indexed="63"/>
      </left>
      <right style="thin">
        <color indexed="23"/>
      </right>
      <top>
        <color indexed="63"/>
      </top>
      <bottom>
        <color indexed="63"/>
      </bottom>
    </border>
    <border>
      <left style="thin">
        <color indexed="8"/>
      </left>
      <right>
        <color indexed="63"/>
      </right>
      <top>
        <color indexed="63"/>
      </top>
      <bottom style="dotted">
        <color indexed="23"/>
      </bottom>
    </border>
    <border>
      <left style="dotted">
        <color indexed="23"/>
      </left>
      <right style="dotted">
        <color indexed="23"/>
      </right>
      <top>
        <color indexed="63"/>
      </top>
      <bottom style="dotted">
        <color indexed="23"/>
      </bottom>
    </border>
    <border>
      <left>
        <color indexed="63"/>
      </left>
      <right>
        <color indexed="63"/>
      </right>
      <top>
        <color indexed="63"/>
      </top>
      <bottom style="dotted">
        <color indexed="23"/>
      </bottom>
    </border>
    <border>
      <left>
        <color indexed="63"/>
      </left>
      <right style="dotted">
        <color indexed="23"/>
      </right>
      <top style="thin">
        <color indexed="8"/>
      </top>
      <bottom style="dotted">
        <color indexed="8"/>
      </bottom>
    </border>
    <border>
      <left>
        <color indexed="63"/>
      </left>
      <right>
        <color indexed="63"/>
      </right>
      <top style="thin">
        <color indexed="8"/>
      </top>
      <bottom style="dotted">
        <color indexed="8"/>
      </bottom>
    </border>
    <border>
      <left style="dotted">
        <color indexed="23"/>
      </left>
      <right>
        <color indexed="63"/>
      </right>
      <top style="thin">
        <color indexed="8"/>
      </top>
      <bottom style="dotted">
        <color indexed="8"/>
      </bottom>
    </border>
    <border>
      <left style="dotted">
        <color indexed="23"/>
      </left>
      <right style="dotted">
        <color indexed="23"/>
      </right>
      <top style="thin">
        <color indexed="8"/>
      </top>
      <bottom style="dotted">
        <color indexed="8"/>
      </bottom>
    </border>
    <border>
      <left>
        <color indexed="63"/>
      </left>
      <right style="thin">
        <color indexed="23"/>
      </right>
      <top style="thin">
        <color indexed="8"/>
      </top>
      <bottom style="dotted">
        <color indexed="8"/>
      </bottom>
    </border>
    <border>
      <left style="thin">
        <color indexed="23"/>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dotted">
        <color indexed="23"/>
      </right>
      <top style="thin">
        <color indexed="8"/>
      </top>
      <bottom style="dotted">
        <color indexed="8"/>
      </bottom>
    </border>
    <border>
      <left style="thin">
        <color indexed="8"/>
      </left>
      <right style="thin">
        <color indexed="8"/>
      </right>
      <top style="dotted">
        <color indexed="23"/>
      </top>
      <bottom style="dotted">
        <color indexed="23"/>
      </bottom>
    </border>
    <border>
      <left style="dotted">
        <color indexed="23"/>
      </left>
      <right style="thin">
        <color indexed="8"/>
      </right>
      <top style="dotted">
        <color indexed="23"/>
      </top>
      <bottom style="dotted">
        <color indexed="23"/>
      </bottom>
    </border>
    <border>
      <left style="thin">
        <color indexed="8"/>
      </left>
      <right style="dotted">
        <color indexed="23"/>
      </right>
      <top style="dotted">
        <color indexed="23"/>
      </top>
      <bottom style="dotted">
        <color indexed="23"/>
      </bottom>
    </border>
    <border>
      <left style="dotted">
        <color indexed="23"/>
      </left>
      <right style="thin">
        <color indexed="23"/>
      </right>
      <top style="dotted">
        <color indexed="23"/>
      </top>
      <bottom style="dotted">
        <color indexed="23"/>
      </bottom>
    </border>
    <border>
      <left style="thin">
        <color indexed="8"/>
      </left>
      <right style="dotted">
        <color indexed="55"/>
      </right>
      <top style="dotted">
        <color indexed="23"/>
      </top>
      <bottom style="dotted">
        <color indexed="23"/>
      </bottom>
    </border>
    <border>
      <left style="dotted">
        <color indexed="55"/>
      </left>
      <right style="thin">
        <color indexed="8"/>
      </right>
      <top style="dotted">
        <color indexed="23"/>
      </top>
      <bottom style="dotted">
        <color indexed="23"/>
      </bottom>
    </border>
    <border>
      <left style="dotted">
        <color indexed="23"/>
      </left>
      <right style="dotted">
        <color indexed="55"/>
      </right>
      <top style="dotted">
        <color indexed="23"/>
      </top>
      <bottom style="dotted">
        <color indexed="23"/>
      </bottom>
    </border>
    <border>
      <left style="thin">
        <color indexed="8"/>
      </left>
      <right>
        <color indexed="63"/>
      </right>
      <top style="dotted">
        <color indexed="23"/>
      </top>
      <bottom style="thin">
        <color indexed="8"/>
      </bottom>
    </border>
    <border>
      <left>
        <color indexed="63"/>
      </left>
      <right>
        <color indexed="63"/>
      </right>
      <top style="dotted">
        <color indexed="23"/>
      </top>
      <bottom>
        <color indexed="63"/>
      </bottom>
    </border>
    <border>
      <left>
        <color indexed="63"/>
      </left>
      <right style="dotted">
        <color indexed="23"/>
      </right>
      <top style="dotted">
        <color indexed="23"/>
      </top>
      <bottom>
        <color indexed="63"/>
      </bottom>
    </border>
    <border>
      <left style="dotted">
        <color indexed="23"/>
      </left>
      <right style="dotted">
        <color indexed="23"/>
      </right>
      <top style="dotted">
        <color indexed="23"/>
      </top>
      <bottom>
        <color indexed="63"/>
      </bottom>
    </border>
    <border>
      <left style="dotted">
        <color indexed="23"/>
      </left>
      <right style="thin">
        <color indexed="23"/>
      </right>
      <top style="dotted">
        <color indexed="23"/>
      </top>
      <bottom>
        <color indexed="63"/>
      </bottom>
    </border>
    <border>
      <left style="thin">
        <color indexed="23"/>
      </left>
      <right style="thin">
        <color indexed="8"/>
      </right>
      <top style="dotted">
        <color indexed="23"/>
      </top>
      <bottom>
        <color indexed="63"/>
      </bottom>
    </border>
    <border>
      <left style="dotted">
        <color indexed="23"/>
      </left>
      <right style="thin">
        <color indexed="8"/>
      </right>
      <top style="dotted">
        <color indexed="8"/>
      </top>
      <bottom style="dotted">
        <color indexed="23"/>
      </bottom>
    </border>
    <border>
      <left style="dotted">
        <color indexed="23"/>
      </left>
      <right>
        <color indexed="63"/>
      </right>
      <top>
        <color indexed="63"/>
      </top>
      <bottom style="dotted">
        <color indexed="23"/>
      </bottom>
    </border>
    <border>
      <left style="dotted">
        <color indexed="23"/>
      </left>
      <right style="thin">
        <color indexed="8"/>
      </right>
      <top style="dotted">
        <color indexed="8"/>
      </top>
      <bottom style="thin">
        <color indexed="8"/>
      </bottom>
    </border>
    <border>
      <left style="dotted">
        <color indexed="23"/>
      </left>
      <right style="dotted">
        <color indexed="8"/>
      </right>
      <top style="dotted">
        <color indexed="23"/>
      </top>
      <bottom style="dotted">
        <color indexed="23"/>
      </bottom>
    </border>
    <border>
      <left style="dotted">
        <color indexed="23"/>
      </left>
      <right style="thin">
        <color indexed="8"/>
      </right>
      <top style="dotted">
        <color indexed="8"/>
      </top>
      <bottom style="dotted">
        <color indexed="8"/>
      </bottom>
    </border>
    <border>
      <left>
        <color indexed="63"/>
      </left>
      <right style="thin">
        <color indexed="23"/>
      </right>
      <top>
        <color indexed="63"/>
      </top>
      <bottom style="dotted">
        <color indexed="23"/>
      </bottom>
    </border>
    <border>
      <left style="thin">
        <color indexed="23"/>
      </left>
      <right style="thin">
        <color indexed="8"/>
      </right>
      <top>
        <color indexed="63"/>
      </top>
      <bottom style="dotted">
        <color indexed="23"/>
      </bottom>
    </border>
    <border>
      <left>
        <color indexed="63"/>
      </left>
      <right style="thin">
        <color indexed="8"/>
      </right>
      <top style="dotted">
        <color indexed="23"/>
      </top>
      <bottom>
        <color indexed="63"/>
      </bottom>
    </border>
    <border>
      <left style="dotted">
        <color indexed="23"/>
      </left>
      <right style="dotted">
        <color indexed="23"/>
      </right>
      <top>
        <color indexed="63"/>
      </top>
      <bottom>
        <color indexed="63"/>
      </bottom>
    </border>
    <border>
      <left style="dotted">
        <color indexed="23"/>
      </left>
      <right style="thin">
        <color indexed="8"/>
      </right>
      <top style="dotted">
        <color indexed="23"/>
      </top>
      <bottom style="thin">
        <color indexed="8"/>
      </bottom>
    </border>
    <border>
      <left>
        <color indexed="63"/>
      </left>
      <right style="dotted">
        <color indexed="23"/>
      </right>
      <top>
        <color indexed="63"/>
      </top>
      <bottom style="dotted">
        <color indexed="23"/>
      </bottom>
    </border>
    <border>
      <left style="thin">
        <color indexed="8"/>
      </left>
      <right style="dotted">
        <color indexed="23"/>
      </right>
      <top>
        <color indexed="63"/>
      </top>
      <bottom>
        <color indexed="63"/>
      </bottom>
    </border>
  </borders>
  <cellStyleXfs count="25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9" fillId="0" borderId="0">
      <alignment/>
      <protection/>
    </xf>
    <xf numFmtId="164" fontId="2" fillId="2" borderId="0">
      <alignment/>
      <protection/>
    </xf>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2" fillId="2" borderId="0" applyNumberFormat="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2" fillId="3" borderId="0">
      <alignment/>
      <protection/>
    </xf>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4" borderId="0">
      <alignment/>
      <protection/>
    </xf>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0" borderId="0">
      <alignment/>
      <protection/>
    </xf>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4" fillId="5" borderId="0">
      <alignment/>
      <protection/>
    </xf>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4" fillId="5" borderId="0" applyNumberFormat="0" applyBorder="0" applyAlignment="0" applyProtection="0"/>
    <xf numFmtId="164" fontId="5" fillId="6" borderId="0">
      <alignment/>
      <protection/>
    </xf>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5" fillId="6" borderId="0" applyNumberFormat="0" applyBorder="0" applyAlignment="0" applyProtection="0"/>
    <xf numFmtId="164" fontId="6" fillId="0" borderId="0">
      <alignment/>
      <protection/>
    </xf>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7" fillId="7" borderId="0">
      <alignment/>
      <protection/>
    </xf>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7" fillId="7" borderId="0" applyNumberFormat="0" applyBorder="0" applyAlignment="0" applyProtection="0"/>
    <xf numFmtId="164" fontId="8" fillId="0" borderId="0">
      <alignment/>
      <protection/>
    </xf>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0" borderId="0">
      <alignment/>
      <protection/>
    </xf>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2" fillId="8" borderId="0">
      <alignment/>
      <protection/>
    </xf>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2" fillId="8" borderId="0" applyNumberFormat="0" applyBorder="0" applyAlignment="0" applyProtection="0"/>
    <xf numFmtId="164" fontId="13" fillId="8" borderId="1">
      <alignment/>
      <protection/>
    </xf>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13" fillId="8" borderId="1" applyNumberFormat="0" applyAlignment="0" applyProtection="0"/>
    <xf numFmtId="164" fontId="0"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lignment/>
      <protection/>
    </xf>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xf numFmtId="164" fontId="4" fillId="0" borderId="0" applyNumberFormat="0" applyFill="0" applyBorder="0" applyAlignment="0" applyProtection="0"/>
  </cellStyleXfs>
  <cellXfs count="617">
    <xf numFmtId="164" fontId="0" fillId="0" borderId="0" xfId="0" applyAlignment="1">
      <alignment/>
    </xf>
    <xf numFmtId="164" fontId="0" fillId="0" borderId="2" xfId="0" applyBorder="1" applyAlignment="1">
      <alignment/>
    </xf>
    <xf numFmtId="164" fontId="0" fillId="0" borderId="2" xfId="0" applyFill="1" applyBorder="1" applyAlignment="1">
      <alignment/>
    </xf>
    <xf numFmtId="164" fontId="0" fillId="0" borderId="2" xfId="0" applyBorder="1" applyAlignment="1">
      <alignment horizontal="center"/>
    </xf>
    <xf numFmtId="164" fontId="0" fillId="0" borderId="2" xfId="0" applyFont="1" applyBorder="1" applyAlignment="1">
      <alignment horizontal="center" wrapText="1"/>
    </xf>
    <xf numFmtId="164" fontId="0" fillId="0" borderId="2" xfId="0" applyFont="1" applyFill="1" applyBorder="1" applyAlignment="1">
      <alignment wrapText="1"/>
    </xf>
    <xf numFmtId="164" fontId="0" fillId="0" borderId="2" xfId="0" applyFont="1" applyBorder="1" applyAlignment="1">
      <alignment wrapText="1"/>
    </xf>
    <xf numFmtId="164" fontId="0" fillId="0" borderId="2" xfId="0" applyFont="1" applyBorder="1" applyAlignment="1">
      <alignment horizontal="left" wrapText="1"/>
    </xf>
    <xf numFmtId="165" fontId="0" fillId="0" borderId="2" xfId="0" applyNumberFormat="1" applyFont="1" applyBorder="1" applyAlignment="1">
      <alignment horizontal="center" wrapText="1"/>
    </xf>
    <xf numFmtId="164" fontId="0" fillId="9" borderId="2" xfId="0" applyFont="1" applyFill="1" applyBorder="1" applyAlignment="1">
      <alignment horizontal="center" wrapText="1"/>
    </xf>
    <xf numFmtId="164" fontId="0" fillId="0" borderId="2" xfId="0" applyNumberFormat="1" applyFont="1" applyBorder="1" applyAlignment="1">
      <alignment horizontal="right" wrapText="1"/>
    </xf>
    <xf numFmtId="164" fontId="0" fillId="9" borderId="2" xfId="0" applyFont="1" applyFill="1" applyBorder="1" applyAlignment="1">
      <alignment horizontal="left" wrapText="1"/>
    </xf>
    <xf numFmtId="167" fontId="0" fillId="0" borderId="2" xfId="0" applyNumberFormat="1" applyFont="1" applyBorder="1" applyAlignment="1">
      <alignment horizontal="center" wrapText="1"/>
    </xf>
    <xf numFmtId="164" fontId="0" fillId="10" borderId="2" xfId="0" applyFont="1" applyFill="1" applyBorder="1" applyAlignment="1">
      <alignment horizontal="center" wrapText="1"/>
    </xf>
    <xf numFmtId="164" fontId="0" fillId="10" borderId="2" xfId="0" applyFont="1" applyFill="1" applyBorder="1" applyAlignment="1">
      <alignment horizontal="left" wrapText="1"/>
    </xf>
    <xf numFmtId="164" fontId="0" fillId="0" borderId="0" xfId="0" applyFont="1" applyAlignment="1">
      <alignment wrapText="1"/>
    </xf>
    <xf numFmtId="164" fontId="0" fillId="11" borderId="2" xfId="0" applyFont="1" applyFill="1" applyBorder="1" applyAlignment="1">
      <alignment horizontal="center" vertical="center" wrapText="1"/>
    </xf>
    <xf numFmtId="164" fontId="0" fillId="11" borderId="2" xfId="0" applyFont="1" applyFill="1" applyBorder="1" applyAlignment="1">
      <alignment horizontal="left" wrapText="1"/>
    </xf>
    <xf numFmtId="164" fontId="0" fillId="12" borderId="2" xfId="0" applyFont="1" applyFill="1" applyBorder="1" applyAlignment="1">
      <alignment horizontal="center" vertical="center" wrapText="1"/>
    </xf>
    <xf numFmtId="164" fontId="0" fillId="12" borderId="0" xfId="0" applyFont="1" applyFill="1" applyAlignment="1">
      <alignment/>
    </xf>
    <xf numFmtId="164" fontId="0" fillId="13" borderId="2" xfId="0" applyFont="1" applyFill="1" applyBorder="1" applyAlignment="1">
      <alignment horizontal="center"/>
    </xf>
    <xf numFmtId="164" fontId="0" fillId="13" borderId="2" xfId="0" applyFont="1" applyFill="1" applyBorder="1" applyAlignment="1">
      <alignment horizontal="left" wrapText="1"/>
    </xf>
    <xf numFmtId="164" fontId="0" fillId="14" borderId="2" xfId="0" applyFont="1" applyFill="1" applyBorder="1" applyAlignment="1">
      <alignment horizontal="center" vertical="center" wrapText="1"/>
    </xf>
    <xf numFmtId="164" fontId="0" fillId="14" borderId="2" xfId="0" applyFont="1" applyFill="1" applyBorder="1" applyAlignment="1">
      <alignment horizontal="left" wrapText="1"/>
    </xf>
    <xf numFmtId="164" fontId="0" fillId="0" borderId="0" xfId="0" applyFont="1" applyAlignment="1">
      <alignment/>
    </xf>
    <xf numFmtId="164" fontId="14" fillId="15" borderId="2" xfId="0" applyFont="1" applyFill="1" applyBorder="1" applyAlignment="1">
      <alignment horizontal="center" vertical="center" wrapText="1"/>
    </xf>
    <xf numFmtId="164" fontId="0" fillId="16" borderId="2" xfId="0" applyFont="1" applyFill="1" applyBorder="1" applyAlignment="1">
      <alignment horizontal="center" wrapText="1"/>
    </xf>
    <xf numFmtId="164" fontId="0" fillId="0" borderId="0" xfId="0" applyFont="1" applyFill="1" applyAlignment="1">
      <alignment/>
    </xf>
    <xf numFmtId="164" fontId="0" fillId="0" borderId="3" xfId="0" applyFont="1" applyBorder="1" applyAlignment="1">
      <alignment wrapText="1"/>
    </xf>
    <xf numFmtId="164" fontId="0" fillId="0" borderId="4" xfId="0" applyFont="1" applyBorder="1" applyAlignment="1">
      <alignment wrapText="1"/>
    </xf>
    <xf numFmtId="164" fontId="0" fillId="0" borderId="5" xfId="0" applyFont="1" applyBorder="1" applyAlignment="1">
      <alignment wrapText="1"/>
    </xf>
    <xf numFmtId="164" fontId="0" fillId="0" borderId="6" xfId="0" applyFont="1" applyBorder="1" applyAlignment="1">
      <alignment horizontal="left" wrapText="1"/>
    </xf>
    <xf numFmtId="164" fontId="0" fillId="0" borderId="6" xfId="0" applyFont="1" applyBorder="1" applyAlignment="1">
      <alignment horizontal="right" wrapText="1"/>
    </xf>
    <xf numFmtId="164" fontId="0" fillId="0" borderId="7" xfId="0" applyFont="1" applyBorder="1" applyAlignment="1">
      <alignment wrapText="1"/>
    </xf>
    <xf numFmtId="164" fontId="0" fillId="0" borderId="8" xfId="0" applyFont="1" applyBorder="1" applyAlignment="1">
      <alignment wrapText="1"/>
    </xf>
    <xf numFmtId="164" fontId="15" fillId="0" borderId="9" xfId="0" applyFont="1" applyBorder="1" applyAlignment="1">
      <alignment wrapText="1"/>
    </xf>
    <xf numFmtId="164" fontId="15" fillId="0" borderId="6" xfId="0" applyFont="1" applyBorder="1" applyAlignment="1">
      <alignment wrapText="1"/>
    </xf>
    <xf numFmtId="164" fontId="15" fillId="0" borderId="10" xfId="0" applyFont="1" applyBorder="1" applyAlignment="1">
      <alignment wrapText="1"/>
    </xf>
    <xf numFmtId="164" fontId="16" fillId="0" borderId="9" xfId="0" applyFont="1" applyBorder="1" applyAlignment="1">
      <alignment wrapText="1"/>
    </xf>
    <xf numFmtId="164" fontId="16" fillId="0" borderId="6" xfId="0" applyFont="1" applyBorder="1" applyAlignment="1">
      <alignment wrapText="1"/>
    </xf>
    <xf numFmtId="164" fontId="16" fillId="0" borderId="10" xfId="0" applyFont="1" applyBorder="1" applyAlignment="1">
      <alignment wrapText="1"/>
    </xf>
    <xf numFmtId="164" fontId="0" fillId="0" borderId="9" xfId="0" applyFont="1" applyBorder="1" applyAlignment="1">
      <alignment wrapText="1"/>
    </xf>
    <xf numFmtId="164" fontId="0" fillId="0" borderId="6" xfId="0" applyFont="1" applyBorder="1" applyAlignment="1">
      <alignment wrapText="1"/>
    </xf>
    <xf numFmtId="164" fontId="0" fillId="0" borderId="10" xfId="0" applyFont="1" applyBorder="1" applyAlignment="1">
      <alignment wrapText="1"/>
    </xf>
    <xf numFmtId="164" fontId="0" fillId="0" borderId="10" xfId="0" applyFont="1" applyBorder="1" applyAlignment="1">
      <alignment horizontal="center" wrapText="1"/>
    </xf>
    <xf numFmtId="164" fontId="0" fillId="0" borderId="11" xfId="0" applyBorder="1" applyAlignment="1">
      <alignment/>
    </xf>
    <xf numFmtId="164" fontId="0" fillId="0" borderId="0" xfId="0" applyFont="1" applyBorder="1" applyAlignment="1">
      <alignment/>
    </xf>
    <xf numFmtId="164" fontId="17" fillId="0" borderId="0" xfId="0" applyFont="1" applyBorder="1" applyAlignment="1">
      <alignment/>
    </xf>
    <xf numFmtId="164" fontId="0" fillId="0" borderId="0" xfId="0" applyFont="1" applyFill="1" applyBorder="1" applyAlignment="1">
      <alignment/>
    </xf>
    <xf numFmtId="164" fontId="0" fillId="16" borderId="12" xfId="0" applyFont="1" applyFill="1" applyBorder="1" applyAlignment="1">
      <alignment horizontal="right" vertical="top" wrapText="1"/>
    </xf>
    <xf numFmtId="164" fontId="0" fillId="0" borderId="13" xfId="0" applyFont="1" applyFill="1" applyBorder="1" applyAlignment="1">
      <alignment horizontal="right" vertical="top" wrapText="1"/>
    </xf>
    <xf numFmtId="164" fontId="18" fillId="0" borderId="14" xfId="0" applyFont="1" applyBorder="1" applyAlignment="1">
      <alignment horizontal="center" wrapText="1"/>
    </xf>
    <xf numFmtId="164" fontId="19" fillId="0" borderId="11" xfId="0" applyFont="1" applyBorder="1" applyAlignment="1">
      <alignment horizontal="center" wrapText="1"/>
    </xf>
    <xf numFmtId="164" fontId="19" fillId="0" borderId="15" xfId="0" applyFont="1" applyBorder="1" applyAlignment="1">
      <alignment wrapText="1"/>
    </xf>
    <xf numFmtId="164" fontId="20" fillId="0" borderId="14" xfId="0" applyFont="1" applyBorder="1" applyAlignment="1">
      <alignment horizontal="center" wrapText="1"/>
    </xf>
    <xf numFmtId="164" fontId="21" fillId="0" borderId="15" xfId="0" applyFont="1" applyBorder="1" applyAlignment="1">
      <alignment horizontal="left" wrapText="1"/>
    </xf>
    <xf numFmtId="164" fontId="20" fillId="0" borderId="0" xfId="0" applyFont="1" applyBorder="1" applyAlignment="1">
      <alignment wrapText="1"/>
    </xf>
    <xf numFmtId="164" fontId="20" fillId="0" borderId="0" xfId="0" applyFont="1" applyBorder="1" applyAlignment="1">
      <alignment horizontal="left" wrapText="1"/>
    </xf>
    <xf numFmtId="164" fontId="20" fillId="0" borderId="0" xfId="0" applyFont="1" applyBorder="1" applyAlignment="1">
      <alignment horizontal="center" wrapText="1"/>
    </xf>
    <xf numFmtId="164" fontId="20" fillId="0" borderId="16" xfId="0" applyFont="1" applyBorder="1" applyAlignment="1">
      <alignment wrapText="1"/>
    </xf>
    <xf numFmtId="164" fontId="20" fillId="0" borderId="13" xfId="0" applyFont="1" applyBorder="1" applyAlignment="1">
      <alignment wrapText="1"/>
    </xf>
    <xf numFmtId="164" fontId="18" fillId="0" borderId="17" xfId="0" applyFont="1" applyBorder="1" applyAlignment="1">
      <alignment wrapText="1"/>
    </xf>
    <xf numFmtId="164" fontId="18" fillId="0" borderId="18" xfId="0" applyFont="1" applyBorder="1" applyAlignment="1">
      <alignment wrapText="1"/>
    </xf>
    <xf numFmtId="164" fontId="18" fillId="0" borderId="15" xfId="0" applyFont="1" applyBorder="1" applyAlignment="1">
      <alignment wrapText="1"/>
    </xf>
    <xf numFmtId="164" fontId="19" fillId="0" borderId="17" xfId="0" applyFont="1" applyBorder="1" applyAlignment="1">
      <alignment wrapText="1"/>
    </xf>
    <xf numFmtId="164" fontId="19" fillId="0" borderId="19" xfId="0" applyFont="1" applyBorder="1" applyAlignment="1">
      <alignment wrapText="1"/>
    </xf>
    <xf numFmtId="164" fontId="20" fillId="0" borderId="17" xfId="0" applyFont="1" applyBorder="1" applyAlignment="1">
      <alignment wrapText="1"/>
    </xf>
    <xf numFmtId="164" fontId="20" fillId="0" borderId="19" xfId="0" applyFont="1" applyBorder="1" applyAlignment="1">
      <alignment wrapText="1"/>
    </xf>
    <xf numFmtId="164" fontId="20" fillId="0" borderId="15" xfId="0" applyFont="1" applyBorder="1" applyAlignment="1">
      <alignment wrapText="1"/>
    </xf>
    <xf numFmtId="164" fontId="0" fillId="0" borderId="20" xfId="0" applyNumberFormat="1" applyFont="1" applyFill="1" applyBorder="1" applyAlignment="1">
      <alignment horizontal="left" vertical="center" wrapText="1"/>
    </xf>
    <xf numFmtId="164" fontId="0" fillId="0" borderId="21" xfId="0" applyFont="1" applyFill="1" applyBorder="1" applyAlignment="1">
      <alignment horizontal="left" vertical="center" wrapText="1"/>
    </xf>
    <xf numFmtId="164" fontId="0" fillId="0" borderId="22" xfId="0" applyNumberFormat="1" applyFont="1" applyFill="1" applyBorder="1" applyAlignment="1">
      <alignment vertical="center" wrapText="1"/>
    </xf>
    <xf numFmtId="164" fontId="0" fillId="0" borderId="23" xfId="0" applyFont="1" applyFill="1" applyBorder="1" applyAlignment="1">
      <alignment horizontal="left" vertical="center" wrapText="1"/>
    </xf>
    <xf numFmtId="164" fontId="0" fillId="0" borderId="23" xfId="0" applyFont="1" applyFill="1" applyBorder="1" applyAlignment="1">
      <alignment horizontal="right" vertical="center" wrapText="1"/>
    </xf>
    <xf numFmtId="164" fontId="0" fillId="0" borderId="24" xfId="0" applyNumberFormat="1" applyFont="1" applyFill="1" applyBorder="1" applyAlignment="1">
      <alignment horizontal="left" vertical="center" wrapText="1"/>
    </xf>
    <xf numFmtId="164" fontId="0" fillId="0" borderId="25" xfId="0" applyNumberFormat="1" applyFont="1" applyFill="1" applyBorder="1" applyAlignment="1">
      <alignment horizontal="left" vertical="center" wrapText="1"/>
    </xf>
    <xf numFmtId="164" fontId="15" fillId="0" borderId="26" xfId="0" applyFont="1" applyFill="1" applyBorder="1" applyAlignment="1">
      <alignment horizontal="left" vertical="center" wrapText="1"/>
    </xf>
    <xf numFmtId="164" fontId="15" fillId="0" borderId="23" xfId="0" applyFont="1" applyFill="1" applyBorder="1" applyAlignment="1">
      <alignment horizontal="left" vertical="center" wrapText="1"/>
    </xf>
    <xf numFmtId="164" fontId="15" fillId="0" borderId="27" xfId="0" applyNumberFormat="1" applyFont="1" applyFill="1" applyBorder="1" applyAlignment="1">
      <alignment horizontal="left" vertical="center" wrapText="1"/>
    </xf>
    <xf numFmtId="164" fontId="16" fillId="0" borderId="28" xfId="0" applyNumberFormat="1" applyFont="1" applyFill="1" applyBorder="1" applyAlignment="1">
      <alignment horizontal="left" vertical="center" wrapText="1"/>
    </xf>
    <xf numFmtId="164" fontId="16" fillId="0" borderId="23" xfId="0" applyNumberFormat="1" applyFont="1" applyFill="1" applyBorder="1" applyAlignment="1">
      <alignment horizontal="left" vertical="center" wrapText="1"/>
    </xf>
    <xf numFmtId="164" fontId="16" fillId="0" borderId="22" xfId="0" applyNumberFormat="1" applyFont="1" applyFill="1" applyBorder="1" applyAlignment="1">
      <alignment horizontal="left" vertical="center" wrapText="1"/>
    </xf>
    <xf numFmtId="164" fontId="0" fillId="0" borderId="26" xfId="0" applyFont="1" applyFill="1" applyBorder="1" applyAlignment="1">
      <alignment horizontal="left" vertical="center" wrapText="1"/>
    </xf>
    <xf numFmtId="164" fontId="0" fillId="0" borderId="27" xfId="0" applyFont="1" applyFill="1" applyBorder="1" applyAlignment="1">
      <alignment horizontal="left" vertical="center" wrapText="1"/>
    </xf>
    <xf numFmtId="164" fontId="0" fillId="0" borderId="27" xfId="0" applyFont="1" applyFill="1" applyBorder="1" applyAlignment="1">
      <alignment horizontal="center" vertical="center" wrapText="1"/>
    </xf>
    <xf numFmtId="164" fontId="0" fillId="0" borderId="11" xfId="0" applyFont="1" applyFill="1" applyBorder="1" applyAlignment="1">
      <alignment/>
    </xf>
    <xf numFmtId="164" fontId="0" fillId="0" borderId="0" xfId="0" applyFill="1" applyAlignment="1">
      <alignment/>
    </xf>
    <xf numFmtId="164" fontId="0" fillId="0" borderId="3" xfId="0" applyFont="1" applyFill="1" applyBorder="1" applyAlignment="1">
      <alignment horizontal="left" vertical="center" wrapText="1"/>
    </xf>
    <xf numFmtId="164" fontId="0" fillId="0" borderId="4" xfId="0" applyFont="1" applyFill="1" applyBorder="1" applyAlignment="1">
      <alignment horizontal="left" vertical="center" wrapText="1"/>
    </xf>
    <xf numFmtId="164" fontId="0" fillId="0" borderId="5" xfId="0" applyNumberFormat="1" applyFont="1" applyFill="1" applyBorder="1" applyAlignment="1">
      <alignment horizontal="left" vertical="center" wrapText="1"/>
    </xf>
    <xf numFmtId="164" fontId="0" fillId="0" borderId="6" xfId="0" applyFont="1" applyFill="1" applyBorder="1" applyAlignment="1">
      <alignment horizontal="left" vertical="center" wrapText="1"/>
    </xf>
    <xf numFmtId="164" fontId="0" fillId="0" borderId="6" xfId="0" applyFont="1" applyFill="1" applyBorder="1" applyAlignment="1">
      <alignment horizontal="right" vertical="center" wrapText="1"/>
    </xf>
    <xf numFmtId="164" fontId="0" fillId="0" borderId="16" xfId="0" applyFont="1" applyFill="1" applyBorder="1" applyAlignment="1">
      <alignment horizontal="left" vertical="center" wrapText="1"/>
    </xf>
    <xf numFmtId="164" fontId="0" fillId="0" borderId="13" xfId="0" applyFont="1" applyFill="1" applyBorder="1" applyAlignment="1">
      <alignment horizontal="left" vertical="center" wrapText="1"/>
    </xf>
    <xf numFmtId="164" fontId="22" fillId="0" borderId="29" xfId="0" applyFont="1" applyFill="1" applyBorder="1" applyAlignment="1">
      <alignment horizontal="left" vertical="center" wrapText="1"/>
    </xf>
    <xf numFmtId="164" fontId="22" fillId="0" borderId="30" xfId="0" applyFont="1" applyFill="1" applyBorder="1" applyAlignment="1">
      <alignment horizontal="left" vertical="center" wrapText="1"/>
    </xf>
    <xf numFmtId="164" fontId="16" fillId="0" borderId="9" xfId="0" applyNumberFormat="1" applyFont="1" applyFill="1" applyBorder="1" applyAlignment="1">
      <alignment horizontal="left" vertical="center" wrapText="1"/>
    </xf>
    <xf numFmtId="164" fontId="16" fillId="0" borderId="6" xfId="0" applyFont="1" applyFill="1" applyBorder="1" applyAlignment="1">
      <alignment horizontal="left" vertical="center" wrapText="1"/>
    </xf>
    <xf numFmtId="164" fontId="16" fillId="0" borderId="10" xfId="0" applyFont="1" applyFill="1" applyBorder="1" applyAlignment="1">
      <alignment horizontal="left" vertical="center" wrapText="1"/>
    </xf>
    <xf numFmtId="164" fontId="0" fillId="0" borderId="9" xfId="0" applyFont="1" applyFill="1" applyBorder="1" applyAlignment="1">
      <alignment horizontal="left" vertical="center" wrapText="1"/>
    </xf>
    <xf numFmtId="164" fontId="0" fillId="0" borderId="10" xfId="0" applyFont="1" applyFill="1" applyBorder="1" applyAlignment="1">
      <alignment horizontal="left" vertical="center" wrapText="1"/>
    </xf>
    <xf numFmtId="164" fontId="20" fillId="0" borderId="10" xfId="0" applyFont="1" applyFill="1" applyBorder="1" applyAlignment="1">
      <alignment horizontal="center" vertical="center" wrapText="1"/>
    </xf>
    <xf numFmtId="164" fontId="0" fillId="0" borderId="3" xfId="0" applyNumberFormat="1" applyFont="1" applyFill="1" applyBorder="1" applyAlignment="1">
      <alignment horizontal="left" vertical="center" wrapText="1"/>
    </xf>
    <xf numFmtId="164" fontId="0" fillId="0" borderId="5" xfId="0" applyNumberFormat="1" applyFont="1" applyFill="1" applyBorder="1" applyAlignment="1">
      <alignment vertical="center" wrapText="1"/>
    </xf>
    <xf numFmtId="164" fontId="0" fillId="0" borderId="7" xfId="0" applyNumberFormat="1" applyFont="1" applyFill="1" applyBorder="1" applyAlignment="1">
      <alignment horizontal="left" vertical="center" wrapText="1"/>
    </xf>
    <xf numFmtId="164" fontId="0" fillId="0" borderId="8" xfId="0" applyNumberFormat="1" applyFont="1" applyFill="1" applyBorder="1" applyAlignment="1">
      <alignment vertical="center" wrapText="1"/>
    </xf>
    <xf numFmtId="164" fontId="15" fillId="0" borderId="9" xfId="0" applyFont="1" applyFill="1" applyBorder="1" applyAlignment="1">
      <alignment horizontal="left" vertical="center" wrapText="1"/>
    </xf>
    <xf numFmtId="164" fontId="15" fillId="0" borderId="6" xfId="0" applyFont="1" applyFill="1" applyBorder="1" applyAlignment="1">
      <alignment horizontal="left" vertical="center" wrapText="1"/>
    </xf>
    <xf numFmtId="164" fontId="15" fillId="0" borderId="10" xfId="0" applyNumberFormat="1" applyFont="1" applyFill="1" applyBorder="1" applyAlignment="1">
      <alignment horizontal="left" vertical="center" wrapText="1"/>
    </xf>
    <xf numFmtId="164" fontId="16" fillId="0" borderId="31" xfId="0" applyNumberFormat="1" applyFont="1" applyFill="1" applyBorder="1" applyAlignment="1">
      <alignment horizontal="left" vertical="center" wrapText="1"/>
    </xf>
    <xf numFmtId="164" fontId="16" fillId="0" borderId="6" xfId="0" applyNumberFormat="1" applyFont="1" applyFill="1" applyBorder="1" applyAlignment="1">
      <alignment horizontal="left" vertical="center" wrapText="1"/>
    </xf>
    <xf numFmtId="164" fontId="16" fillId="0" borderId="5" xfId="0" applyNumberFormat="1" applyFont="1" applyFill="1" applyBorder="1" applyAlignment="1">
      <alignment horizontal="left" vertical="center" wrapText="1"/>
    </xf>
    <xf numFmtId="164" fontId="0" fillId="10" borderId="3" xfId="0" applyFont="1" applyFill="1" applyBorder="1" applyAlignment="1">
      <alignment horizontal="left" vertical="center" wrapText="1"/>
    </xf>
    <xf numFmtId="164" fontId="0" fillId="10" borderId="4" xfId="0" applyFont="1" applyFill="1" applyBorder="1" applyAlignment="1">
      <alignment horizontal="left" vertical="center" wrapText="1"/>
    </xf>
    <xf numFmtId="164" fontId="0" fillId="10" borderId="5" xfId="0" applyNumberFormat="1" applyFont="1" applyFill="1" applyBorder="1" applyAlignment="1">
      <alignment vertical="center" wrapText="1"/>
    </xf>
    <xf numFmtId="164" fontId="0" fillId="10" borderId="6" xfId="0" applyFont="1" applyFill="1" applyBorder="1" applyAlignment="1">
      <alignment horizontal="left" vertical="center" wrapText="1"/>
    </xf>
    <xf numFmtId="164" fontId="0" fillId="10" borderId="6" xfId="0" applyFont="1" applyFill="1" applyBorder="1" applyAlignment="1">
      <alignment horizontal="right" vertical="center" wrapText="1"/>
    </xf>
    <xf numFmtId="164" fontId="0" fillId="10" borderId="7" xfId="0" applyNumberFormat="1" applyFont="1" applyFill="1" applyBorder="1" applyAlignment="1">
      <alignment horizontal="left" vertical="center" wrapText="1"/>
    </xf>
    <xf numFmtId="164" fontId="0" fillId="10" borderId="8" xfId="0" applyNumberFormat="1" applyFont="1" applyFill="1" applyBorder="1" applyAlignment="1">
      <alignment vertical="center" wrapText="1"/>
    </xf>
    <xf numFmtId="164" fontId="15" fillId="10" borderId="9" xfId="0" applyFont="1" applyFill="1" applyBorder="1" applyAlignment="1">
      <alignment horizontal="left" vertical="center" wrapText="1"/>
    </xf>
    <xf numFmtId="164" fontId="15" fillId="10" borderId="6" xfId="0" applyFont="1" applyFill="1" applyBorder="1" applyAlignment="1">
      <alignment horizontal="left" vertical="center" wrapText="1"/>
    </xf>
    <xf numFmtId="164" fontId="15" fillId="10" borderId="10" xfId="0" applyNumberFormat="1" applyFont="1" applyFill="1" applyBorder="1" applyAlignment="1">
      <alignment horizontal="left" vertical="center" wrapText="1"/>
    </xf>
    <xf numFmtId="164" fontId="16" fillId="10" borderId="31" xfId="0" applyNumberFormat="1" applyFont="1" applyFill="1" applyBorder="1" applyAlignment="1">
      <alignment horizontal="left" vertical="center" wrapText="1"/>
    </xf>
    <xf numFmtId="164" fontId="16" fillId="10" borderId="6" xfId="0" applyNumberFormat="1" applyFont="1" applyFill="1" applyBorder="1" applyAlignment="1">
      <alignment horizontal="left" vertical="center" wrapText="1"/>
    </xf>
    <xf numFmtId="164" fontId="16" fillId="10" borderId="5" xfId="0" applyNumberFormat="1" applyFont="1" applyFill="1" applyBorder="1" applyAlignment="1">
      <alignment horizontal="left" vertical="center" wrapText="1"/>
    </xf>
    <xf numFmtId="164" fontId="0" fillId="10" borderId="9" xfId="0" applyFont="1" applyFill="1" applyBorder="1" applyAlignment="1">
      <alignment horizontal="left" vertical="center" wrapText="1"/>
    </xf>
    <xf numFmtId="164" fontId="0" fillId="10" borderId="10" xfId="0" applyFont="1" applyFill="1" applyBorder="1" applyAlignment="1">
      <alignment horizontal="left" vertical="center" wrapText="1"/>
    </xf>
    <xf numFmtId="164" fontId="20" fillId="10" borderId="10" xfId="0" applyFont="1" applyFill="1" applyBorder="1" applyAlignment="1">
      <alignment horizontal="center" vertical="center" wrapText="1"/>
    </xf>
    <xf numFmtId="164" fontId="0" fillId="0" borderId="10" xfId="0" applyFont="1" applyFill="1" applyBorder="1" applyAlignment="1">
      <alignment horizontal="center" vertical="center" wrapText="1"/>
    </xf>
    <xf numFmtId="164" fontId="0" fillId="0" borderId="3" xfId="0" applyNumberFormat="1" applyFont="1" applyFill="1" applyBorder="1" applyAlignment="1">
      <alignment horizontal="left" vertical="center" wrapText="1"/>
    </xf>
    <xf numFmtId="164" fontId="0" fillId="0" borderId="6" xfId="0" applyNumberFormat="1" applyFont="1" applyFill="1" applyBorder="1" applyAlignment="1">
      <alignment horizontal="left" vertical="center" wrapText="1"/>
    </xf>
    <xf numFmtId="164" fontId="0" fillId="0" borderId="32" xfId="0" applyNumberFormat="1" applyFont="1" applyFill="1" applyBorder="1" applyAlignment="1">
      <alignment horizontal="left" vertical="center" wrapText="1"/>
    </xf>
    <xf numFmtId="164" fontId="0" fillId="0" borderId="8" xfId="0" applyNumberFormat="1" applyFont="1" applyFill="1" applyBorder="1" applyAlignment="1">
      <alignment horizontal="left" vertical="center" wrapText="1"/>
    </xf>
    <xf numFmtId="164" fontId="15" fillId="0" borderId="6" xfId="0" applyNumberFormat="1" applyFont="1" applyFill="1" applyBorder="1" applyAlignment="1">
      <alignment horizontal="left" vertical="center" wrapText="1"/>
    </xf>
    <xf numFmtId="164" fontId="15" fillId="0" borderId="10" xfId="0" applyNumberFormat="1" applyFont="1" applyFill="1" applyBorder="1" applyAlignment="1">
      <alignment horizontal="left" vertical="center" wrapText="1"/>
    </xf>
    <xf numFmtId="164" fontId="15" fillId="0" borderId="9" xfId="0" applyNumberFormat="1" applyFont="1" applyFill="1" applyBorder="1" applyAlignment="1">
      <alignment horizontal="left" vertical="center" wrapText="1"/>
    </xf>
    <xf numFmtId="164" fontId="0" fillId="0" borderId="32" xfId="0" applyNumberFormat="1" applyFont="1" applyFill="1" applyBorder="1" applyAlignment="1">
      <alignment horizontal="left" vertical="center" wrapText="1"/>
    </xf>
    <xf numFmtId="168" fontId="0" fillId="0" borderId="7" xfId="0" applyNumberFormat="1" applyFont="1" applyFill="1" applyBorder="1" applyAlignment="1">
      <alignment horizontal="left" vertical="center" wrapText="1"/>
    </xf>
    <xf numFmtId="168" fontId="0" fillId="0" borderId="8" xfId="0" applyNumberFormat="1" applyFont="1" applyFill="1" applyBorder="1" applyAlignment="1">
      <alignment horizontal="left" vertical="center" wrapText="1"/>
    </xf>
    <xf numFmtId="164" fontId="22" fillId="0" borderId="33" xfId="0" applyNumberFormat="1" applyFont="1" applyFill="1" applyBorder="1" applyAlignment="1">
      <alignment horizontal="left" vertical="center" wrapText="1"/>
    </xf>
    <xf numFmtId="164" fontId="15" fillId="0" borderId="34" xfId="0" applyNumberFormat="1" applyFont="1" applyFill="1" applyBorder="1" applyAlignment="1">
      <alignment horizontal="left" vertical="center" wrapText="1"/>
    </xf>
    <xf numFmtId="164" fontId="0" fillId="0" borderId="11" xfId="0" applyFill="1" applyBorder="1" applyAlignment="1">
      <alignment/>
    </xf>
    <xf numFmtId="164" fontId="0" fillId="0" borderId="0" xfId="0" applyFill="1" applyBorder="1" applyAlignment="1">
      <alignment/>
    </xf>
    <xf numFmtId="164" fontId="0" fillId="10" borderId="5" xfId="0" applyNumberFormat="1" applyFont="1" applyFill="1" applyBorder="1" applyAlignment="1">
      <alignment horizontal="left" vertical="center" wrapText="1"/>
    </xf>
    <xf numFmtId="164" fontId="22" fillId="0" borderId="34" xfId="0" applyNumberFormat="1" applyFont="1" applyFill="1" applyBorder="1" applyAlignment="1">
      <alignment horizontal="left" vertical="center" wrapText="1"/>
    </xf>
    <xf numFmtId="164" fontId="16" fillId="0" borderId="9" xfId="0" applyNumberFormat="1" applyFont="1" applyFill="1" applyBorder="1" applyAlignment="1">
      <alignment vertical="center" wrapText="1"/>
    </xf>
    <xf numFmtId="164" fontId="16" fillId="0" borderId="10" xfId="0" applyNumberFormat="1" applyFont="1" applyFill="1" applyBorder="1" applyAlignment="1">
      <alignment horizontal="left" vertical="center" wrapText="1"/>
    </xf>
    <xf numFmtId="164" fontId="0" fillId="10" borderId="3" xfId="0" applyNumberFormat="1" applyFont="1" applyFill="1" applyBorder="1" applyAlignment="1">
      <alignment horizontal="left" vertical="center" wrapText="1"/>
    </xf>
    <xf numFmtId="164" fontId="0" fillId="10" borderId="6" xfId="0" applyNumberFormat="1" applyFont="1" applyFill="1" applyBorder="1" applyAlignment="1">
      <alignment horizontal="left" vertical="center" wrapText="1"/>
    </xf>
    <xf numFmtId="168" fontId="0" fillId="10" borderId="7" xfId="0" applyNumberFormat="1" applyFont="1" applyFill="1" applyBorder="1" applyAlignment="1">
      <alignment horizontal="left" vertical="center" wrapText="1"/>
    </xf>
    <xf numFmtId="168" fontId="0" fillId="10" borderId="8" xfId="0" applyNumberFormat="1" applyFont="1" applyFill="1" applyBorder="1" applyAlignment="1">
      <alignment horizontal="left" vertical="center" wrapText="1"/>
    </xf>
    <xf numFmtId="164" fontId="22" fillId="10" borderId="31" xfId="0" applyNumberFormat="1" applyFont="1" applyFill="1" applyBorder="1" applyAlignment="1">
      <alignment horizontal="left" vertical="center" wrapText="1"/>
    </xf>
    <xf numFmtId="164" fontId="22" fillId="10" borderId="35" xfId="0" applyNumberFormat="1" applyFont="1" applyFill="1" applyBorder="1" applyAlignment="1">
      <alignment horizontal="left" vertical="center" wrapText="1"/>
    </xf>
    <xf numFmtId="164" fontId="22" fillId="10" borderId="34" xfId="0" applyNumberFormat="1" applyFont="1" applyFill="1" applyBorder="1" applyAlignment="1">
      <alignment horizontal="left" vertical="center" wrapText="1"/>
    </xf>
    <xf numFmtId="164" fontId="16" fillId="10" borderId="9" xfId="0" applyNumberFormat="1" applyFont="1" applyFill="1" applyBorder="1" applyAlignment="1">
      <alignment vertical="center" wrapText="1"/>
    </xf>
    <xf numFmtId="164" fontId="16" fillId="10" borderId="10" xfId="0" applyNumberFormat="1" applyFont="1" applyFill="1" applyBorder="1" applyAlignment="1">
      <alignment horizontal="left" vertical="center" wrapText="1"/>
    </xf>
    <xf numFmtId="164" fontId="22" fillId="0" borderId="31" xfId="0" applyNumberFormat="1" applyFont="1" applyFill="1" applyBorder="1" applyAlignment="1">
      <alignment horizontal="center" vertical="center" wrapText="1"/>
    </xf>
    <xf numFmtId="164" fontId="22" fillId="0" borderId="35" xfId="0" applyNumberFormat="1" applyFont="1" applyFill="1" applyBorder="1" applyAlignment="1">
      <alignment horizontal="center" vertical="center" wrapText="1"/>
    </xf>
    <xf numFmtId="164" fontId="22" fillId="0" borderId="34" xfId="0" applyNumberFormat="1" applyFont="1" applyFill="1" applyBorder="1" applyAlignment="1">
      <alignment horizontal="center" vertical="center" wrapText="1"/>
    </xf>
    <xf numFmtId="164" fontId="16" fillId="0" borderId="9" xfId="0" applyNumberFormat="1" applyFont="1" applyFill="1" applyBorder="1" applyAlignment="1">
      <alignment horizontal="left" vertical="center" wrapText="1"/>
    </xf>
    <xf numFmtId="164" fontId="0" fillId="0" borderId="7" xfId="0" applyNumberFormat="1" applyFont="1" applyFill="1" applyBorder="1" applyAlignment="1">
      <alignment horizontal="left" vertical="center" wrapText="1"/>
    </xf>
    <xf numFmtId="168" fontId="20" fillId="0" borderId="8" xfId="0" applyNumberFormat="1" applyFont="1" applyFill="1" applyBorder="1" applyAlignment="1">
      <alignment vertical="center" wrapText="1"/>
    </xf>
    <xf numFmtId="164" fontId="22" fillId="0" borderId="31" xfId="0" applyNumberFormat="1" applyFont="1" applyFill="1" applyBorder="1" applyAlignment="1">
      <alignment horizontal="left" vertical="center" wrapText="1"/>
    </xf>
    <xf numFmtId="164" fontId="22" fillId="0" borderId="35" xfId="0" applyNumberFormat="1" applyFont="1" applyFill="1" applyBorder="1" applyAlignment="1">
      <alignment horizontal="left" vertical="center" wrapText="1"/>
    </xf>
    <xf numFmtId="168" fontId="20" fillId="0" borderId="8" xfId="0" applyNumberFormat="1" applyFont="1" applyFill="1" applyBorder="1" applyAlignment="1">
      <alignment horizontal="left" vertical="center" wrapText="1"/>
    </xf>
    <xf numFmtId="164" fontId="0" fillId="0" borderId="3" xfId="0" applyFont="1" applyFill="1" applyBorder="1" applyAlignment="1">
      <alignment vertical="center" wrapText="1"/>
    </xf>
    <xf numFmtId="164" fontId="0" fillId="0" borderId="4" xfId="0" applyFont="1" applyFill="1" applyBorder="1" applyAlignment="1">
      <alignment vertical="center" wrapText="1"/>
    </xf>
    <xf numFmtId="164" fontId="0" fillId="0" borderId="7" xfId="0" applyFont="1" applyFill="1" applyBorder="1" applyAlignment="1">
      <alignment vertical="center" wrapText="1"/>
    </xf>
    <xf numFmtId="164" fontId="0" fillId="0" borderId="8" xfId="0" applyFont="1" applyFill="1" applyBorder="1" applyAlignment="1">
      <alignment vertical="center" wrapText="1"/>
    </xf>
    <xf numFmtId="164" fontId="15" fillId="0" borderId="9" xfId="0" applyFont="1" applyFill="1" applyBorder="1" applyAlignment="1">
      <alignment vertical="center" wrapText="1"/>
    </xf>
    <xf numFmtId="164" fontId="15" fillId="0" borderId="6" xfId="0" applyFont="1" applyFill="1" applyBorder="1" applyAlignment="1">
      <alignment vertical="center" wrapText="1"/>
    </xf>
    <xf numFmtId="164" fontId="15" fillId="0" borderId="10" xfId="0" applyFont="1" applyFill="1" applyBorder="1" applyAlignment="1">
      <alignment vertical="center" wrapText="1"/>
    </xf>
    <xf numFmtId="164" fontId="16" fillId="0" borderId="36" xfId="0" applyNumberFormat="1" applyFont="1" applyFill="1" applyBorder="1" applyAlignment="1">
      <alignment vertical="center" wrapText="1"/>
    </xf>
    <xf numFmtId="164" fontId="16" fillId="0" borderId="6" xfId="0" applyNumberFormat="1" applyFont="1" applyFill="1" applyBorder="1" applyAlignment="1">
      <alignment vertical="center" wrapText="1"/>
    </xf>
    <xf numFmtId="164" fontId="16" fillId="0" borderId="10" xfId="0" applyFont="1" applyFill="1" applyBorder="1" applyAlignment="1">
      <alignment horizontal="right" vertical="center" wrapText="1"/>
    </xf>
    <xf numFmtId="164" fontId="0" fillId="0" borderId="9" xfId="0" applyFont="1" applyFill="1" applyBorder="1" applyAlignment="1">
      <alignment vertical="center" wrapText="1"/>
    </xf>
    <xf numFmtId="164" fontId="0" fillId="0" borderId="6" xfId="0" applyNumberFormat="1" applyFont="1" applyFill="1" applyBorder="1" applyAlignment="1">
      <alignment vertical="center" wrapText="1"/>
    </xf>
    <xf numFmtId="164" fontId="0" fillId="0" borderId="10" xfId="0" applyFont="1" applyFill="1" applyBorder="1" applyAlignment="1">
      <alignment vertical="center" wrapText="1"/>
    </xf>
    <xf numFmtId="164" fontId="0" fillId="0" borderId="7" xfId="0" applyNumberFormat="1" applyFont="1" applyFill="1" applyBorder="1" applyAlignment="1">
      <alignment vertical="center" wrapText="1"/>
    </xf>
    <xf numFmtId="164" fontId="15" fillId="0" borderId="10" xfId="0" applyNumberFormat="1" applyFont="1" applyFill="1" applyBorder="1" applyAlignment="1">
      <alignment vertical="center" wrapText="1"/>
    </xf>
    <xf numFmtId="164" fontId="16" fillId="0" borderId="10" xfId="0" applyNumberFormat="1" applyFont="1" applyFill="1" applyBorder="1" applyAlignment="1">
      <alignment vertical="center" wrapText="1"/>
    </xf>
    <xf numFmtId="164" fontId="0" fillId="0" borderId="10" xfId="0" applyNumberFormat="1" applyFont="1" applyFill="1" applyBorder="1" applyAlignment="1">
      <alignment vertical="center" wrapText="1"/>
    </xf>
    <xf numFmtId="164" fontId="0" fillId="0" borderId="37" xfId="0" applyFont="1" applyFill="1" applyBorder="1" applyAlignment="1">
      <alignment horizontal="left" vertical="center" wrapText="1"/>
    </xf>
    <xf numFmtId="164" fontId="0" fillId="0" borderId="6" xfId="0" applyNumberFormat="1" applyFont="1" applyFill="1" applyBorder="1" applyAlignment="1">
      <alignment horizontal="left" vertical="center" wrapText="1"/>
    </xf>
    <xf numFmtId="164" fontId="22" fillId="0" borderId="32" xfId="0" applyFont="1" applyFill="1" applyBorder="1" applyAlignment="1">
      <alignment horizontal="left" vertical="center" wrapText="1"/>
    </xf>
    <xf numFmtId="164" fontId="23" fillId="0" borderId="8" xfId="0" applyFont="1" applyFill="1" applyBorder="1" applyAlignment="1">
      <alignment horizontal="left" vertical="center" wrapText="1"/>
    </xf>
    <xf numFmtId="164" fontId="20" fillId="0" borderId="8" xfId="0" applyNumberFormat="1" applyFont="1" applyFill="1" applyBorder="1" applyAlignment="1">
      <alignment horizontal="left" vertical="center" wrapText="1"/>
    </xf>
    <xf numFmtId="164" fontId="0" fillId="0" borderId="10" xfId="0" applyNumberFormat="1" applyFont="1" applyFill="1" applyBorder="1" applyAlignment="1">
      <alignment horizontal="left" vertical="center" wrapText="1"/>
    </xf>
    <xf numFmtId="164" fontId="0" fillId="0" borderId="6" xfId="0" applyNumberFormat="1" applyFont="1" applyFill="1" applyBorder="1" applyAlignment="1">
      <alignment horizontal="right" vertical="center" wrapText="1"/>
    </xf>
    <xf numFmtId="164" fontId="22" fillId="0" borderId="34" xfId="0" applyNumberFormat="1" applyFont="1" applyFill="1" applyBorder="1" applyAlignment="1">
      <alignment vertical="center" wrapText="1"/>
    </xf>
    <xf numFmtId="164" fontId="22" fillId="0" borderId="8" xfId="0" applyFont="1" applyFill="1" applyBorder="1" applyAlignment="1">
      <alignment horizontal="left" vertical="center" wrapText="1"/>
    </xf>
    <xf numFmtId="164" fontId="0" fillId="0" borderId="38" xfId="0" applyFont="1" applyFill="1" applyBorder="1" applyAlignment="1">
      <alignment horizontal="left" vertical="center" wrapText="1"/>
    </xf>
    <xf numFmtId="164" fontId="0" fillId="0" borderId="39" xfId="0" applyNumberFormat="1" applyFont="1" applyFill="1" applyBorder="1" applyAlignment="1">
      <alignment horizontal="left" vertical="center" wrapText="1"/>
    </xf>
    <xf numFmtId="164" fontId="0" fillId="0" borderId="39" xfId="0" applyNumberFormat="1" applyFont="1" applyFill="1" applyBorder="1" applyAlignment="1">
      <alignment horizontal="left" vertical="center" wrapText="1"/>
    </xf>
    <xf numFmtId="164" fontId="0" fillId="0" borderId="39" xfId="0" applyNumberFormat="1" applyFont="1" applyFill="1" applyBorder="1" applyAlignment="1">
      <alignment horizontal="right" vertical="center" wrapText="1"/>
    </xf>
    <xf numFmtId="164" fontId="22" fillId="0" borderId="6" xfId="0" applyNumberFormat="1" applyFont="1" applyFill="1" applyBorder="1" applyAlignment="1">
      <alignment horizontal="left" vertical="center" wrapText="1"/>
    </xf>
    <xf numFmtId="164" fontId="0" fillId="0" borderId="40" xfId="0" applyFont="1" applyFill="1" applyBorder="1" applyAlignment="1">
      <alignment horizontal="left" vertical="center" wrapText="1"/>
    </xf>
    <xf numFmtId="164" fontId="0" fillId="0" borderId="41" xfId="0" applyNumberFormat="1" applyFont="1" applyFill="1" applyBorder="1" applyAlignment="1">
      <alignment horizontal="left" vertical="center" wrapText="1"/>
    </xf>
    <xf numFmtId="164" fontId="15" fillId="0" borderId="6" xfId="0" applyNumberFormat="1" applyFont="1" applyFill="1" applyBorder="1" applyAlignment="1">
      <alignment horizontal="left" vertical="center" wrapText="1"/>
    </xf>
    <xf numFmtId="164" fontId="0" fillId="0" borderId="9" xfId="0" applyNumberFormat="1" applyFont="1" applyFill="1" applyBorder="1" applyAlignment="1">
      <alignment horizontal="left" vertical="center" wrapText="1"/>
    </xf>
    <xf numFmtId="164" fontId="0" fillId="17" borderId="39" xfId="0" applyNumberFormat="1" applyFont="1" applyFill="1" applyBorder="1" applyAlignment="1">
      <alignment horizontal="left" vertical="center" wrapText="1"/>
    </xf>
    <xf numFmtId="164" fontId="20" fillId="0" borderId="8" xfId="0" applyFont="1" applyFill="1" applyBorder="1" applyAlignment="1">
      <alignment horizontal="left" vertical="center" wrapText="1"/>
    </xf>
    <xf numFmtId="164" fontId="24" fillId="0" borderId="6" xfId="0" applyFont="1" applyFill="1" applyBorder="1" applyAlignment="1">
      <alignment horizontal="left" vertical="center" wrapText="1"/>
    </xf>
    <xf numFmtId="164" fontId="22" fillId="0" borderId="9" xfId="0" applyFont="1" applyFill="1" applyBorder="1" applyAlignment="1">
      <alignment horizontal="left" vertical="center" wrapText="1"/>
    </xf>
    <xf numFmtId="164" fontId="22" fillId="0" borderId="6" xfId="0" applyNumberFormat="1" applyFont="1" applyFill="1" applyBorder="1" applyAlignment="1">
      <alignment horizontal="left" vertical="center" wrapText="1"/>
    </xf>
    <xf numFmtId="164" fontId="22" fillId="0" borderId="10" xfId="0" applyFont="1" applyFill="1" applyBorder="1" applyAlignment="1">
      <alignment horizontal="left" vertical="center"/>
    </xf>
    <xf numFmtId="164" fontId="0" fillId="0" borderId="10" xfId="0" applyFont="1" applyFill="1" applyBorder="1" applyAlignment="1">
      <alignment horizontal="center" vertical="center"/>
    </xf>
    <xf numFmtId="164" fontId="16" fillId="0" borderId="30" xfId="0" applyNumberFormat="1" applyFont="1" applyFill="1" applyBorder="1" applyAlignment="1">
      <alignment horizontal="left" vertical="center" wrapText="1"/>
    </xf>
    <xf numFmtId="164" fontId="20" fillId="0" borderId="8" xfId="0" applyNumberFormat="1" applyFont="1" applyFill="1" applyBorder="1" applyAlignment="1">
      <alignment vertical="center" wrapText="1"/>
    </xf>
    <xf numFmtId="164" fontId="0" fillId="0" borderId="6" xfId="0" applyNumberFormat="1" applyFont="1" applyFill="1" applyBorder="1" applyAlignment="1">
      <alignment horizontal="right" vertical="center" wrapText="1"/>
    </xf>
    <xf numFmtId="164" fontId="16" fillId="0" borderId="9" xfId="0" applyFont="1" applyFill="1" applyBorder="1" applyAlignment="1">
      <alignment horizontal="left" vertical="center" wrapText="1"/>
    </xf>
    <xf numFmtId="168" fontId="20" fillId="10" borderId="8" xfId="0" applyNumberFormat="1" applyFont="1" applyFill="1" applyBorder="1" applyAlignment="1">
      <alignment vertical="center" wrapText="1"/>
    </xf>
    <xf numFmtId="164" fontId="16" fillId="10" borderId="9" xfId="0" applyNumberFormat="1" applyFont="1" applyFill="1" applyBorder="1" applyAlignment="1">
      <alignment horizontal="left" vertical="center" wrapText="1"/>
    </xf>
    <xf numFmtId="164" fontId="0" fillId="10" borderId="10" xfId="0" applyFont="1" applyFill="1" applyBorder="1" applyAlignment="1">
      <alignment horizontal="center" vertical="center" wrapText="1"/>
    </xf>
    <xf numFmtId="164" fontId="20" fillId="10" borderId="8" xfId="0" applyNumberFormat="1" applyFont="1" applyFill="1" applyBorder="1" applyAlignment="1">
      <alignment horizontal="left" vertical="center" wrapText="1"/>
    </xf>
    <xf numFmtId="164" fontId="15" fillId="10" borderId="9" xfId="0" applyNumberFormat="1" applyFont="1" applyFill="1" applyBorder="1" applyAlignment="1">
      <alignment horizontal="left" vertical="center" wrapText="1"/>
    </xf>
    <xf numFmtId="164" fontId="0" fillId="10" borderId="32" xfId="0" applyFont="1" applyFill="1" applyBorder="1" applyAlignment="1">
      <alignment horizontal="left" vertical="center" wrapText="1"/>
    </xf>
    <xf numFmtId="164" fontId="0" fillId="10" borderId="8" xfId="0" applyNumberFormat="1" applyFont="1" applyFill="1" applyBorder="1" applyAlignment="1">
      <alignment horizontal="left" vertical="center" wrapText="1"/>
    </xf>
    <xf numFmtId="164" fontId="15" fillId="10" borderId="31" xfId="0" applyNumberFormat="1" applyFont="1" applyFill="1" applyBorder="1" applyAlignment="1">
      <alignment horizontal="left" vertical="center" wrapText="1"/>
    </xf>
    <xf numFmtId="164" fontId="15" fillId="10" borderId="6" xfId="0" applyNumberFormat="1" applyFont="1" applyFill="1" applyBorder="1" applyAlignment="1">
      <alignment horizontal="left" vertical="center" wrapText="1"/>
    </xf>
    <xf numFmtId="164" fontId="15" fillId="10" borderId="12" xfId="0" applyNumberFormat="1" applyFont="1" applyFill="1" applyBorder="1" applyAlignment="1">
      <alignment horizontal="left" vertical="center" wrapText="1"/>
    </xf>
    <xf numFmtId="164" fontId="16" fillId="16" borderId="10" xfId="0" applyFont="1" applyFill="1" applyBorder="1" applyAlignment="1">
      <alignment horizontal="left" vertical="center" wrapText="1"/>
    </xf>
    <xf numFmtId="164" fontId="0" fillId="10" borderId="31" xfId="0" applyFont="1" applyFill="1" applyBorder="1" applyAlignment="1">
      <alignment horizontal="left" vertical="center" wrapText="1"/>
    </xf>
    <xf numFmtId="164" fontId="0" fillId="10" borderId="30" xfId="0" applyFont="1" applyFill="1" applyBorder="1" applyAlignment="1">
      <alignment horizontal="left" vertical="center" wrapText="1"/>
    </xf>
    <xf numFmtId="164" fontId="0" fillId="10" borderId="29" xfId="0" applyFont="1" applyFill="1" applyBorder="1" applyAlignment="1">
      <alignment horizontal="center" vertical="center" wrapText="1"/>
    </xf>
    <xf numFmtId="164" fontId="16" fillId="16" borderId="9" xfId="0" applyNumberFormat="1" applyFont="1" applyFill="1" applyBorder="1" applyAlignment="1">
      <alignment horizontal="left" vertical="center" wrapText="1"/>
    </xf>
    <xf numFmtId="164" fontId="16" fillId="16" borderId="6" xfId="0" applyFont="1" applyFill="1" applyBorder="1" applyAlignment="1">
      <alignment horizontal="left" vertical="center" wrapText="1"/>
    </xf>
    <xf numFmtId="164" fontId="15" fillId="10" borderId="31" xfId="0" applyNumberFormat="1" applyFont="1" applyFill="1" applyBorder="1" applyAlignment="1">
      <alignment horizontal="left" vertical="center" wrapText="1"/>
    </xf>
    <xf numFmtId="164" fontId="16" fillId="10" borderId="6" xfId="0" applyFont="1" applyFill="1" applyBorder="1" applyAlignment="1">
      <alignment horizontal="left" vertical="center" wrapText="1"/>
    </xf>
    <xf numFmtId="164" fontId="16" fillId="10" borderId="10" xfId="0" applyFont="1" applyFill="1" applyBorder="1" applyAlignment="1">
      <alignment horizontal="left" vertical="center" wrapText="1"/>
    </xf>
    <xf numFmtId="164" fontId="0" fillId="10" borderId="7" xfId="0" applyNumberFormat="1" applyFont="1" applyFill="1" applyBorder="1" applyAlignment="1">
      <alignment vertical="center" wrapText="1"/>
    </xf>
    <xf numFmtId="164" fontId="15" fillId="10" borderId="9" xfId="0" applyFont="1" applyFill="1" applyBorder="1" applyAlignment="1">
      <alignment vertical="center" wrapText="1"/>
    </xf>
    <xf numFmtId="164" fontId="15" fillId="10" borderId="6" xfId="0" applyFont="1" applyFill="1" applyBorder="1" applyAlignment="1">
      <alignment vertical="center" wrapText="1"/>
    </xf>
    <xf numFmtId="164" fontId="15" fillId="10" borderId="10" xfId="0" applyNumberFormat="1" applyFont="1" applyFill="1" applyBorder="1" applyAlignment="1">
      <alignment vertical="center" wrapText="1"/>
    </xf>
    <xf numFmtId="164" fontId="16" fillId="10" borderId="6" xfId="0" applyNumberFormat="1" applyFont="1" applyFill="1" applyBorder="1" applyAlignment="1">
      <alignment vertical="center" wrapText="1"/>
    </xf>
    <xf numFmtId="164" fontId="16" fillId="10" borderId="10" xfId="0" applyNumberFormat="1" applyFont="1" applyFill="1" applyBorder="1" applyAlignment="1">
      <alignment vertical="center" wrapText="1"/>
    </xf>
    <xf numFmtId="164" fontId="0" fillId="10" borderId="9" xfId="0" applyFont="1" applyFill="1" applyBorder="1" applyAlignment="1">
      <alignment vertical="center" wrapText="1"/>
    </xf>
    <xf numFmtId="164" fontId="0" fillId="10" borderId="6" xfId="0" applyNumberFormat="1" applyFont="1" applyFill="1" applyBorder="1" applyAlignment="1">
      <alignment vertical="center" wrapText="1"/>
    </xf>
    <xf numFmtId="164" fontId="0" fillId="10" borderId="10" xfId="0" applyNumberFormat="1" applyFont="1" applyFill="1" applyBorder="1" applyAlignment="1">
      <alignment vertical="center" wrapText="1"/>
    </xf>
    <xf numFmtId="164" fontId="0" fillId="10" borderId="6" xfId="0" applyNumberFormat="1" applyFont="1" applyFill="1" applyBorder="1" applyAlignment="1">
      <alignment horizontal="right" vertical="center" wrapText="1"/>
    </xf>
    <xf numFmtId="164" fontId="0" fillId="10" borderId="7" xfId="0" applyFont="1" applyFill="1" applyBorder="1" applyAlignment="1">
      <alignment horizontal="left" vertical="center" wrapText="1"/>
    </xf>
    <xf numFmtId="164" fontId="15" fillId="10" borderId="10" xfId="0" applyNumberFormat="1" applyFont="1" applyFill="1" applyBorder="1" applyAlignment="1">
      <alignment horizontal="left" vertical="center" wrapText="1"/>
    </xf>
    <xf numFmtId="164" fontId="0" fillId="9" borderId="11" xfId="0" applyFill="1" applyBorder="1" applyAlignment="1">
      <alignment/>
    </xf>
    <xf numFmtId="164" fontId="0" fillId="9" borderId="0" xfId="0" applyFill="1" applyAlignment="1">
      <alignment/>
    </xf>
    <xf numFmtId="164" fontId="0" fillId="10" borderId="6" xfId="0" applyNumberFormat="1" applyFont="1" applyFill="1" applyBorder="1" applyAlignment="1">
      <alignment horizontal="left" vertical="center" wrapText="1"/>
    </xf>
    <xf numFmtId="168" fontId="0" fillId="10" borderId="32" xfId="0" applyNumberFormat="1" applyFont="1" applyFill="1" applyBorder="1" applyAlignment="1">
      <alignment horizontal="left" vertical="center" wrapText="1"/>
    </xf>
    <xf numFmtId="164" fontId="15" fillId="10" borderId="42" xfId="0" applyNumberFormat="1" applyFont="1" applyFill="1" applyBorder="1" applyAlignment="1">
      <alignment horizontal="left" vertical="center" wrapText="1"/>
    </xf>
    <xf numFmtId="164" fontId="0" fillId="10" borderId="43" xfId="0" applyFill="1" applyBorder="1" applyAlignment="1">
      <alignment horizontal="left" vertical="center"/>
    </xf>
    <xf numFmtId="164" fontId="0" fillId="10" borderId="10" xfId="0" applyNumberFormat="1" applyFont="1" applyFill="1" applyBorder="1" applyAlignment="1">
      <alignment horizontal="left" vertical="center" wrapText="1"/>
    </xf>
    <xf numFmtId="168" fontId="0" fillId="0" borderId="32" xfId="0" applyNumberFormat="1" applyFont="1" applyFill="1" applyBorder="1" applyAlignment="1">
      <alignment horizontal="left" vertical="center" wrapText="1"/>
    </xf>
    <xf numFmtId="164" fontId="15" fillId="0" borderId="31" xfId="0" applyNumberFormat="1" applyFont="1" applyFill="1" applyBorder="1" applyAlignment="1">
      <alignment horizontal="left" vertical="center" wrapText="1"/>
    </xf>
    <xf numFmtId="164" fontId="15" fillId="0" borderId="30" xfId="0" applyNumberFormat="1" applyFont="1" applyFill="1" applyBorder="1" applyAlignment="1">
      <alignment horizontal="left" vertical="center" wrapText="1"/>
    </xf>
    <xf numFmtId="164" fontId="0" fillId="0" borderId="43" xfId="0" applyFill="1" applyBorder="1" applyAlignment="1">
      <alignment horizontal="left" vertical="center"/>
    </xf>
    <xf numFmtId="164" fontId="0" fillId="0" borderId="29" xfId="0" applyFont="1" applyFill="1" applyBorder="1" applyAlignment="1">
      <alignment horizontal="left" vertical="center" wrapText="1"/>
    </xf>
    <xf numFmtId="164" fontId="0" fillId="0" borderId="29" xfId="0" applyFont="1" applyFill="1" applyBorder="1" applyAlignment="1">
      <alignment horizontal="center" vertical="center" wrapText="1"/>
    </xf>
    <xf numFmtId="164" fontId="19" fillId="0" borderId="6" xfId="0" applyNumberFormat="1" applyFont="1" applyFill="1" applyBorder="1" applyAlignment="1">
      <alignment vertical="center" wrapText="1"/>
    </xf>
    <xf numFmtId="164" fontId="15" fillId="10" borderId="6" xfId="0" applyNumberFormat="1" applyFont="1" applyFill="1" applyBorder="1" applyAlignment="1">
      <alignment horizontal="left" vertical="center" wrapText="1"/>
    </xf>
    <xf numFmtId="164" fontId="15" fillId="10" borderId="30" xfId="0" applyNumberFormat="1" applyFont="1" applyFill="1" applyBorder="1" applyAlignment="1">
      <alignment horizontal="left" vertical="center" wrapText="1"/>
    </xf>
    <xf numFmtId="164" fontId="0" fillId="10" borderId="5" xfId="0" applyFill="1" applyBorder="1" applyAlignment="1">
      <alignment horizontal="left" vertical="center"/>
    </xf>
    <xf numFmtId="164" fontId="24" fillId="10" borderId="6" xfId="0" applyNumberFormat="1" applyFont="1" applyFill="1" applyBorder="1" applyAlignment="1">
      <alignment horizontal="left" vertical="center" wrapText="1"/>
    </xf>
    <xf numFmtId="164" fontId="16" fillId="10" borderId="30" xfId="0" applyNumberFormat="1" applyFont="1" applyFill="1" applyBorder="1" applyAlignment="1">
      <alignment vertical="center" wrapText="1"/>
    </xf>
    <xf numFmtId="164" fontId="0" fillId="10" borderId="9" xfId="0" applyNumberFormat="1" applyFont="1" applyFill="1" applyBorder="1" applyAlignment="1">
      <alignment horizontal="left" vertical="center" wrapText="1"/>
    </xf>
    <xf numFmtId="164" fontId="15" fillId="10" borderId="44" xfId="0" applyNumberFormat="1" applyFont="1" applyFill="1" applyBorder="1" applyAlignment="1">
      <alignment horizontal="left" vertical="center" wrapText="1"/>
    </xf>
    <xf numFmtId="164" fontId="0" fillId="10" borderId="0" xfId="0" applyFill="1" applyBorder="1" applyAlignment="1">
      <alignment horizontal="left" vertical="center"/>
    </xf>
    <xf numFmtId="164" fontId="0" fillId="10" borderId="45" xfId="0" applyFont="1" applyFill="1" applyBorder="1" applyAlignment="1">
      <alignment horizontal="left" vertical="center" wrapText="1"/>
    </xf>
    <xf numFmtId="164" fontId="16" fillId="10" borderId="6" xfId="0" applyFont="1" applyFill="1" applyBorder="1" applyAlignment="1">
      <alignment vertical="center" wrapText="1"/>
    </xf>
    <xf numFmtId="164" fontId="15" fillId="10" borderId="46" xfId="0" applyNumberFormat="1" applyFont="1" applyFill="1" applyBorder="1" applyAlignment="1">
      <alignment horizontal="left" vertical="center" wrapText="1"/>
    </xf>
    <xf numFmtId="164" fontId="0" fillId="10" borderId="5" xfId="0" applyNumberFormat="1" applyFont="1" applyFill="1" applyBorder="1" applyAlignment="1">
      <alignment horizontal="left" vertical="center" wrapText="1"/>
    </xf>
    <xf numFmtId="164" fontId="0" fillId="10" borderId="16" xfId="0" applyFont="1" applyFill="1" applyBorder="1" applyAlignment="1">
      <alignment horizontal="left" vertical="center" wrapText="1"/>
    </xf>
    <xf numFmtId="164" fontId="0" fillId="10" borderId="13" xfId="0" applyFont="1" applyFill="1" applyBorder="1" applyAlignment="1">
      <alignment horizontal="left" vertical="center" wrapText="1"/>
    </xf>
    <xf numFmtId="164" fontId="22" fillId="10" borderId="29" xfId="0" applyFont="1" applyFill="1" applyBorder="1" applyAlignment="1">
      <alignment horizontal="left" vertical="center" wrapText="1"/>
    </xf>
    <xf numFmtId="164" fontId="22" fillId="10" borderId="30" xfId="0" applyFont="1" applyFill="1" applyBorder="1" applyAlignment="1">
      <alignment vertical="center" wrapText="1"/>
    </xf>
    <xf numFmtId="164" fontId="16" fillId="10" borderId="9" xfId="0" applyNumberFormat="1" applyFont="1" applyFill="1" applyBorder="1" applyAlignment="1">
      <alignment horizontal="left" vertical="center" wrapText="1"/>
    </xf>
    <xf numFmtId="164" fontId="0" fillId="10" borderId="29" xfId="0" applyFont="1" applyFill="1" applyBorder="1" applyAlignment="1">
      <alignment horizontal="left" vertical="center" wrapText="1"/>
    </xf>
    <xf numFmtId="164" fontId="0" fillId="10" borderId="31" xfId="0" applyNumberFormat="1" applyFont="1" applyFill="1" applyBorder="1" applyAlignment="1">
      <alignment horizontal="left" vertical="center" wrapText="1"/>
    </xf>
    <xf numFmtId="164" fontId="24" fillId="10" borderId="6" xfId="0" applyFont="1" applyFill="1" applyBorder="1" applyAlignment="1">
      <alignment horizontal="left" vertical="center" wrapText="1"/>
    </xf>
    <xf numFmtId="164" fontId="16" fillId="10" borderId="9" xfId="0" applyFont="1" applyFill="1" applyBorder="1" applyAlignment="1">
      <alignment horizontal="left" vertical="center" wrapText="1"/>
    </xf>
    <xf numFmtId="164" fontId="16" fillId="10" borderId="10" xfId="0" applyFont="1" applyFill="1" applyBorder="1" applyAlignment="1">
      <alignment vertical="center" wrapText="1"/>
    </xf>
    <xf numFmtId="164" fontId="20" fillId="10" borderId="8" xfId="0" applyFont="1" applyFill="1" applyBorder="1" applyAlignment="1">
      <alignment horizontal="left" vertical="center" wrapText="1"/>
    </xf>
    <xf numFmtId="164" fontId="22" fillId="10" borderId="3" xfId="0" applyFont="1" applyFill="1" applyBorder="1" applyAlignment="1">
      <alignment horizontal="left" vertical="center" wrapText="1"/>
    </xf>
    <xf numFmtId="164" fontId="22" fillId="10" borderId="4" xfId="0" applyFont="1" applyFill="1" applyBorder="1" applyAlignment="1">
      <alignment horizontal="left" vertical="center" wrapText="1"/>
    </xf>
    <xf numFmtId="164" fontId="22" fillId="10" borderId="5" xfId="0" applyNumberFormat="1" applyFont="1" applyFill="1" applyBorder="1" applyAlignment="1">
      <alignment horizontal="left" vertical="center" wrapText="1"/>
    </xf>
    <xf numFmtId="164" fontId="22" fillId="10" borderId="6" xfId="0" applyFont="1" applyFill="1" applyBorder="1" applyAlignment="1">
      <alignment horizontal="left" vertical="center" wrapText="1"/>
    </xf>
    <xf numFmtId="164" fontId="22" fillId="10" borderId="6" xfId="0" applyFont="1" applyFill="1" applyBorder="1" applyAlignment="1">
      <alignment horizontal="right" vertical="center" wrapText="1"/>
    </xf>
    <xf numFmtId="164" fontId="22" fillId="10" borderId="7" xfId="0" applyNumberFormat="1" applyFont="1" applyFill="1" applyBorder="1" applyAlignment="1">
      <alignment horizontal="left" vertical="center" wrapText="1"/>
    </xf>
    <xf numFmtId="164" fontId="22" fillId="10" borderId="8" xfId="0" applyNumberFormat="1" applyFont="1" applyFill="1" applyBorder="1" applyAlignment="1">
      <alignment horizontal="left" vertical="center" wrapText="1"/>
    </xf>
    <xf numFmtId="164" fontId="22" fillId="10" borderId="9" xfId="0" applyFont="1" applyFill="1" applyBorder="1" applyAlignment="1">
      <alignment horizontal="left" vertical="center" wrapText="1"/>
    </xf>
    <xf numFmtId="164" fontId="22" fillId="10" borderId="10" xfId="0" applyNumberFormat="1" applyFont="1" applyFill="1" applyBorder="1" applyAlignment="1">
      <alignment horizontal="left" vertical="center" wrapText="1"/>
    </xf>
    <xf numFmtId="164" fontId="22" fillId="10" borderId="29" xfId="0" applyNumberFormat="1" applyFont="1" applyFill="1" applyBorder="1" applyAlignment="1">
      <alignment vertical="center" wrapText="1"/>
    </xf>
    <xf numFmtId="164" fontId="22" fillId="10" borderId="10" xfId="0" applyFont="1" applyFill="1" applyBorder="1" applyAlignment="1">
      <alignment horizontal="center" vertical="center" wrapText="1"/>
    </xf>
    <xf numFmtId="164" fontId="0" fillId="9" borderId="7" xfId="0" applyFont="1" applyFill="1" applyBorder="1" applyAlignment="1">
      <alignment horizontal="left" vertical="center" wrapText="1"/>
    </xf>
    <xf numFmtId="164" fontId="0" fillId="10" borderId="8" xfId="0" applyFont="1" applyFill="1" applyBorder="1" applyAlignment="1">
      <alignment horizontal="center" vertical="center" wrapText="1"/>
    </xf>
    <xf numFmtId="164" fontId="16" fillId="9" borderId="9" xfId="0" applyNumberFormat="1" applyFont="1" applyFill="1" applyBorder="1" applyAlignment="1">
      <alignment horizontal="left" vertical="center" wrapText="1"/>
    </xf>
    <xf numFmtId="164" fontId="16" fillId="9" borderId="6" xfId="0" applyNumberFormat="1" applyFont="1" applyFill="1" applyBorder="1" applyAlignment="1">
      <alignment horizontal="left" vertical="center" wrapText="1"/>
    </xf>
    <xf numFmtId="164" fontId="16" fillId="9" borderId="10" xfId="0" applyFont="1" applyFill="1" applyBorder="1" applyAlignment="1">
      <alignment horizontal="left" vertical="center" wrapText="1"/>
    </xf>
    <xf numFmtId="164" fontId="16" fillId="9" borderId="6" xfId="0" applyNumberFormat="1" applyFont="1" applyFill="1" applyBorder="1" applyAlignment="1">
      <alignment vertical="center" wrapText="1"/>
    </xf>
    <xf numFmtId="164" fontId="16" fillId="10" borderId="31" xfId="0" applyFont="1" applyFill="1" applyBorder="1" applyAlignment="1">
      <alignment horizontal="left" vertical="center" wrapText="1"/>
    </xf>
    <xf numFmtId="164" fontId="16" fillId="10" borderId="5" xfId="0" applyFont="1" applyFill="1" applyBorder="1" applyAlignment="1">
      <alignment horizontal="left" vertical="center" wrapText="1"/>
    </xf>
    <xf numFmtId="164" fontId="16" fillId="10" borderId="31" xfId="0" applyNumberFormat="1" applyFont="1" applyFill="1" applyBorder="1" applyAlignment="1">
      <alignment vertical="center" wrapText="1"/>
    </xf>
    <xf numFmtId="164" fontId="16" fillId="10" borderId="30" xfId="0" applyFont="1" applyFill="1" applyBorder="1" applyAlignment="1">
      <alignment horizontal="left" vertical="center" wrapText="1"/>
    </xf>
    <xf numFmtId="164" fontId="16" fillId="10" borderId="31" xfId="0" applyNumberFormat="1" applyFont="1" applyFill="1" applyBorder="1" applyAlignment="1">
      <alignment horizontal="left" vertical="center" wrapText="1"/>
    </xf>
    <xf numFmtId="164" fontId="15" fillId="0" borderId="9" xfId="0" applyNumberFormat="1" applyFont="1" applyFill="1" applyBorder="1" applyAlignment="1">
      <alignment horizontal="left" vertical="center" wrapText="1"/>
    </xf>
    <xf numFmtId="164" fontId="22" fillId="0" borderId="10" xfId="0" applyNumberFormat="1" applyFont="1" applyFill="1" applyBorder="1" applyAlignment="1">
      <alignment horizontal="left" vertical="center" wrapText="1"/>
    </xf>
    <xf numFmtId="164" fontId="16" fillId="0" borderId="30" xfId="0" applyFont="1" applyFill="1" applyBorder="1" applyAlignment="1">
      <alignment horizontal="left" vertical="center" wrapText="1"/>
    </xf>
    <xf numFmtId="164" fontId="22" fillId="10" borderId="10" xfId="0" applyNumberFormat="1" applyFont="1" applyFill="1" applyBorder="1" applyAlignment="1">
      <alignment horizontal="left" vertical="center" wrapText="1"/>
    </xf>
    <xf numFmtId="164" fontId="16" fillId="10" borderId="3" xfId="0" applyNumberFormat="1" applyFont="1" applyFill="1" applyBorder="1" applyAlignment="1">
      <alignment horizontal="left" vertical="center" wrapText="1"/>
    </xf>
    <xf numFmtId="164" fontId="0" fillId="0" borderId="7" xfId="0" applyFont="1" applyFill="1" applyBorder="1" applyAlignment="1">
      <alignment horizontal="left" vertical="center" wrapText="1"/>
    </xf>
    <xf numFmtId="164" fontId="22" fillId="0" borderId="10" xfId="0" applyNumberFormat="1" applyFont="1" applyFill="1" applyBorder="1" applyAlignment="1">
      <alignment horizontal="left" vertical="center" wrapText="1"/>
    </xf>
    <xf numFmtId="164" fontId="0" fillId="10" borderId="8" xfId="0" applyFont="1" applyFill="1" applyBorder="1" applyAlignment="1">
      <alignment horizontal="left" vertical="center" wrapText="1"/>
    </xf>
    <xf numFmtId="164" fontId="16" fillId="16" borderId="6" xfId="0" applyFont="1" applyFill="1" applyBorder="1" applyAlignment="1">
      <alignment vertical="center" wrapText="1"/>
    </xf>
    <xf numFmtId="164" fontId="16" fillId="16" borderId="10" xfId="0" applyNumberFormat="1" applyFont="1" applyFill="1" applyBorder="1" applyAlignment="1">
      <alignment vertical="center" wrapText="1"/>
    </xf>
    <xf numFmtId="164" fontId="0" fillId="10" borderId="3" xfId="0" applyFont="1" applyFill="1" applyBorder="1" applyAlignment="1">
      <alignment vertical="center" wrapText="1"/>
    </xf>
    <xf numFmtId="164" fontId="0" fillId="10" borderId="4" xfId="0" applyFont="1" applyFill="1" applyBorder="1" applyAlignment="1">
      <alignment vertical="center" wrapText="1"/>
    </xf>
    <xf numFmtId="164" fontId="0" fillId="10" borderId="8" xfId="0" applyNumberFormat="1" applyFont="1" applyFill="1" applyBorder="1" applyAlignment="1">
      <alignment vertical="top" wrapText="1"/>
    </xf>
    <xf numFmtId="164" fontId="0" fillId="10" borderId="47" xfId="0" applyFont="1" applyFill="1" applyBorder="1" applyAlignment="1">
      <alignment horizontal="left" vertical="center" wrapText="1"/>
    </xf>
    <xf numFmtId="164" fontId="0" fillId="10" borderId="48" xfId="0" applyFont="1" applyFill="1" applyBorder="1" applyAlignment="1">
      <alignment horizontal="left" vertical="center" wrapText="1"/>
    </xf>
    <xf numFmtId="164" fontId="22" fillId="10" borderId="30" xfId="0" applyFont="1" applyFill="1" applyBorder="1" applyAlignment="1">
      <alignment horizontal="left" vertical="center" wrapText="1"/>
    </xf>
    <xf numFmtId="169" fontId="16" fillId="0" borderId="6" xfId="0" applyNumberFormat="1" applyFont="1" applyFill="1" applyBorder="1" applyAlignment="1">
      <alignment horizontal="left" vertical="center" wrapText="1"/>
    </xf>
    <xf numFmtId="164" fontId="15" fillId="0" borderId="31" xfId="0" applyFont="1" applyFill="1" applyBorder="1" applyAlignment="1">
      <alignment horizontal="left" vertical="center" wrapText="1"/>
    </xf>
    <xf numFmtId="164" fontId="15" fillId="0" borderId="30" xfId="0" applyNumberFormat="1" applyFont="1" applyFill="1" applyBorder="1" applyAlignment="1">
      <alignment horizontal="left" vertical="center" wrapText="1"/>
    </xf>
    <xf numFmtId="164" fontId="22" fillId="0" borderId="3" xfId="0" applyFont="1" applyFill="1" applyBorder="1" applyAlignment="1">
      <alignment horizontal="left" vertical="center" wrapText="1"/>
    </xf>
    <xf numFmtId="164" fontId="22" fillId="0" borderId="4" xfId="0" applyFont="1" applyFill="1" applyBorder="1" applyAlignment="1">
      <alignment horizontal="left" vertical="center" wrapText="1"/>
    </xf>
    <xf numFmtId="164" fontId="22" fillId="0" borderId="5" xfId="0" applyNumberFormat="1" applyFont="1" applyFill="1" applyBorder="1" applyAlignment="1">
      <alignment horizontal="left" vertical="center" wrapText="1"/>
    </xf>
    <xf numFmtId="164" fontId="22" fillId="0" borderId="6" xfId="0" applyFont="1" applyFill="1" applyBorder="1" applyAlignment="1">
      <alignment horizontal="left" vertical="center" wrapText="1"/>
    </xf>
    <xf numFmtId="164" fontId="22" fillId="0" borderId="6" xfId="0" applyFont="1" applyFill="1" applyBorder="1" applyAlignment="1">
      <alignment horizontal="right" vertical="center" wrapText="1"/>
    </xf>
    <xf numFmtId="164" fontId="22" fillId="0" borderId="7" xfId="0" applyNumberFormat="1" applyFont="1" applyFill="1" applyBorder="1" applyAlignment="1">
      <alignment horizontal="left" vertical="center" wrapText="1"/>
    </xf>
    <xf numFmtId="164" fontId="22" fillId="0" borderId="8" xfId="0" applyNumberFormat="1" applyFont="1" applyFill="1" applyBorder="1" applyAlignment="1">
      <alignment horizontal="left" vertical="center" wrapText="1"/>
    </xf>
    <xf numFmtId="164" fontId="22" fillId="0" borderId="9" xfId="0" applyNumberFormat="1" applyFont="1" applyFill="1" applyBorder="1" applyAlignment="1">
      <alignment horizontal="left" vertical="center" wrapText="1"/>
    </xf>
    <xf numFmtId="164" fontId="22" fillId="0" borderId="4" xfId="0" applyNumberFormat="1" applyFont="1" applyFill="1" applyBorder="1" applyAlignment="1">
      <alignment horizontal="left" vertical="center" wrapText="1"/>
    </xf>
    <xf numFmtId="164" fontId="16" fillId="0" borderId="10" xfId="0" applyNumberFormat="1" applyFont="1" applyFill="1" applyBorder="1" applyAlignment="1">
      <alignment horizontal="left" vertical="center" wrapText="1"/>
    </xf>
    <xf numFmtId="164" fontId="22" fillId="0" borderId="9" xfId="0" applyFont="1" applyFill="1" applyBorder="1" applyAlignment="1">
      <alignment vertical="center" wrapText="1"/>
    </xf>
    <xf numFmtId="164" fontId="22" fillId="0" borderId="6" xfId="0" applyNumberFormat="1" applyFont="1" applyFill="1" applyBorder="1" applyAlignment="1">
      <alignment vertical="center" wrapText="1"/>
    </xf>
    <xf numFmtId="164" fontId="22" fillId="0" borderId="10" xfId="0" applyFont="1" applyFill="1" applyBorder="1" applyAlignment="1">
      <alignment vertical="center" wrapText="1"/>
    </xf>
    <xf numFmtId="164" fontId="22" fillId="0" borderId="10" xfId="0" applyFont="1" applyFill="1" applyBorder="1" applyAlignment="1">
      <alignment horizontal="center" vertical="center" wrapText="1"/>
    </xf>
    <xf numFmtId="164" fontId="0" fillId="0" borderId="39" xfId="0" applyFont="1" applyFill="1" applyBorder="1" applyAlignment="1">
      <alignment horizontal="right" vertical="center" wrapText="1"/>
    </xf>
    <xf numFmtId="164" fontId="0" fillId="0" borderId="41" xfId="0" applyFont="1" applyFill="1" applyBorder="1" applyAlignment="1">
      <alignment horizontal="left" vertical="center" wrapText="1"/>
    </xf>
    <xf numFmtId="164" fontId="16" fillId="0" borderId="5" xfId="0" applyFont="1" applyFill="1" applyBorder="1" applyAlignment="1">
      <alignment horizontal="left" vertical="center" wrapText="1"/>
    </xf>
    <xf numFmtId="169" fontId="16" fillId="10" borderId="6" xfId="0" applyNumberFormat="1" applyFont="1" applyFill="1" applyBorder="1" applyAlignment="1">
      <alignment horizontal="left" vertical="center" wrapText="1"/>
    </xf>
    <xf numFmtId="164" fontId="16" fillId="9" borderId="10" xfId="0" applyNumberFormat="1" applyFont="1" applyFill="1" applyBorder="1" applyAlignment="1">
      <alignment horizontal="left" vertical="center" wrapText="1"/>
    </xf>
    <xf numFmtId="164" fontId="0" fillId="10" borderId="5" xfId="0" applyFont="1" applyFill="1" applyBorder="1" applyAlignment="1">
      <alignment horizontal="left" vertical="center" wrapText="1"/>
    </xf>
    <xf numFmtId="164" fontId="15" fillId="10" borderId="10" xfId="0" applyFont="1" applyFill="1" applyBorder="1" applyAlignment="1">
      <alignment horizontal="left" vertical="center" wrapText="1"/>
    </xf>
    <xf numFmtId="164" fontId="22" fillId="10" borderId="9" xfId="0" applyNumberFormat="1" applyFont="1" applyFill="1" applyBorder="1" applyAlignment="1">
      <alignment vertical="center" wrapText="1"/>
    </xf>
    <xf numFmtId="164" fontId="22" fillId="10" borderId="6" xfId="0" applyNumberFormat="1" applyFont="1" applyFill="1" applyBorder="1" applyAlignment="1">
      <alignment vertical="center" wrapText="1"/>
    </xf>
    <xf numFmtId="164" fontId="22" fillId="10" borderId="10" xfId="0" applyNumberFormat="1" applyFont="1" applyFill="1" applyBorder="1" applyAlignment="1">
      <alignment vertical="center" wrapText="1"/>
    </xf>
    <xf numFmtId="164" fontId="22" fillId="10" borderId="31" xfId="0" applyNumberFormat="1" applyFont="1" applyFill="1" applyBorder="1" applyAlignment="1">
      <alignment horizontal="left" vertical="center" wrapText="1"/>
    </xf>
    <xf numFmtId="164" fontId="22" fillId="10" borderId="10" xfId="0" applyFont="1" applyFill="1" applyBorder="1" applyAlignment="1">
      <alignment vertical="center" wrapText="1"/>
    </xf>
    <xf numFmtId="164" fontId="0" fillId="10" borderId="7" xfId="0" applyNumberFormat="1" applyFont="1" applyFill="1" applyBorder="1" applyAlignment="1">
      <alignment horizontal="left" vertical="center" wrapText="1"/>
    </xf>
    <xf numFmtId="164" fontId="20" fillId="10" borderId="29" xfId="0" applyFont="1" applyFill="1" applyBorder="1" applyAlignment="1">
      <alignment horizontal="center" vertical="center" wrapText="1"/>
    </xf>
    <xf numFmtId="164" fontId="15" fillId="10" borderId="31" xfId="0" applyFont="1" applyFill="1" applyBorder="1" applyAlignment="1">
      <alignment horizontal="left" vertical="center" wrapText="1"/>
    </xf>
    <xf numFmtId="164" fontId="15" fillId="10" borderId="30" xfId="0" applyNumberFormat="1" applyFont="1" applyFill="1" applyBorder="1" applyAlignment="1">
      <alignment horizontal="left" vertical="center" wrapText="1"/>
    </xf>
    <xf numFmtId="164" fontId="0" fillId="10" borderId="9" xfId="0" applyNumberFormat="1" applyFont="1" applyFill="1" applyBorder="1" applyAlignment="1">
      <alignment vertical="center" wrapText="1"/>
    </xf>
    <xf numFmtId="164" fontId="0" fillId="10" borderId="8" xfId="0" applyFont="1" applyFill="1" applyBorder="1" applyAlignment="1">
      <alignment vertical="center" wrapText="1"/>
    </xf>
    <xf numFmtId="164" fontId="0" fillId="9" borderId="9" xfId="0" applyNumberFormat="1" applyFont="1" applyFill="1" applyBorder="1" applyAlignment="1">
      <alignment horizontal="left" vertical="center" wrapText="1"/>
    </xf>
    <xf numFmtId="164" fontId="0" fillId="9" borderId="6" xfId="0" applyNumberFormat="1" applyFont="1" applyFill="1" applyBorder="1" applyAlignment="1">
      <alignment horizontal="left" vertical="center" wrapText="1"/>
    </xf>
    <xf numFmtId="164" fontId="0" fillId="0" borderId="11" xfId="0" applyFont="1" applyFill="1" applyBorder="1" applyAlignment="1">
      <alignment horizontal="left"/>
    </xf>
    <xf numFmtId="164" fontId="0" fillId="0" borderId="0" xfId="0" applyFont="1" applyFill="1" applyAlignment="1">
      <alignment horizontal="left"/>
    </xf>
    <xf numFmtId="164" fontId="0" fillId="9" borderId="9" xfId="0" applyNumberFormat="1" applyFont="1" applyFill="1" applyBorder="1" applyAlignment="1">
      <alignment vertical="center" wrapText="1"/>
    </xf>
    <xf numFmtId="164" fontId="0" fillId="9" borderId="6" xfId="0" applyNumberFormat="1" applyFont="1" applyFill="1" applyBorder="1" applyAlignment="1">
      <alignment horizontal="left" vertical="center" wrapText="1"/>
    </xf>
    <xf numFmtId="164" fontId="0" fillId="9" borderId="6" xfId="0" applyNumberFormat="1" applyFont="1" applyFill="1" applyBorder="1" applyAlignment="1">
      <alignment vertical="center" wrapText="1"/>
    </xf>
    <xf numFmtId="164" fontId="0" fillId="0" borderId="31" xfId="0" applyFont="1" applyFill="1" applyBorder="1" applyAlignment="1">
      <alignment horizontal="left" vertical="center" wrapText="1"/>
    </xf>
    <xf numFmtId="164" fontId="0" fillId="0" borderId="30" xfId="0" applyFont="1" applyFill="1" applyBorder="1" applyAlignment="1">
      <alignment horizontal="left" vertical="center" wrapText="1"/>
    </xf>
    <xf numFmtId="164" fontId="0" fillId="0" borderId="8" xfId="0" applyNumberFormat="1" applyFont="1" applyFill="1" applyBorder="1" applyAlignment="1">
      <alignment horizontal="left" vertical="center" wrapText="1"/>
    </xf>
    <xf numFmtId="164" fontId="0" fillId="0" borderId="9" xfId="0" applyNumberFormat="1" applyFont="1" applyFill="1" applyBorder="1" applyAlignment="1">
      <alignment vertical="center" wrapText="1"/>
    </xf>
    <xf numFmtId="164" fontId="20" fillId="0" borderId="29" xfId="0" applyFont="1" applyFill="1" applyBorder="1" applyAlignment="1">
      <alignment horizontal="center" vertical="center" wrapText="1"/>
    </xf>
    <xf numFmtId="164" fontId="0" fillId="0" borderId="9" xfId="0" applyNumberFormat="1" applyFont="1" applyFill="1" applyBorder="1" applyAlignment="1">
      <alignment horizontal="left" vertical="center" wrapText="1"/>
    </xf>
    <xf numFmtId="164" fontId="0" fillId="0" borderId="8" xfId="0" applyFont="1" applyFill="1" applyBorder="1" applyAlignment="1">
      <alignment horizontal="left" vertical="center" wrapText="1"/>
    </xf>
    <xf numFmtId="164" fontId="22" fillId="0" borderId="31" xfId="0" applyFont="1" applyFill="1" applyBorder="1" applyAlignment="1">
      <alignment horizontal="left" vertical="center" wrapText="1"/>
    </xf>
    <xf numFmtId="164" fontId="22" fillId="10" borderId="8" xfId="0" applyNumberFormat="1" applyFont="1" applyFill="1" applyBorder="1" applyAlignment="1">
      <alignment horizontal="left" vertical="center" wrapText="1"/>
    </xf>
    <xf numFmtId="164" fontId="0" fillId="10" borderId="32" xfId="0" applyNumberFormat="1" applyFont="1" applyFill="1" applyBorder="1" applyAlignment="1">
      <alignment horizontal="left" vertical="center" wrapText="1"/>
    </xf>
    <xf numFmtId="164" fontId="22" fillId="10" borderId="6" xfId="0" applyNumberFormat="1" applyFont="1" applyFill="1" applyBorder="1" applyAlignment="1">
      <alignment horizontal="left" vertical="center" wrapText="1"/>
    </xf>
    <xf numFmtId="164" fontId="22" fillId="10" borderId="10" xfId="0" applyFont="1" applyFill="1" applyBorder="1" applyAlignment="1">
      <alignment horizontal="left" vertical="center" wrapText="1"/>
    </xf>
    <xf numFmtId="164" fontId="0" fillId="10" borderId="12" xfId="0" applyFont="1" applyFill="1" applyBorder="1" applyAlignment="1">
      <alignment horizontal="center" vertical="center"/>
    </xf>
    <xf numFmtId="164" fontId="22" fillId="0" borderId="10" xfId="0" applyFont="1" applyFill="1" applyBorder="1" applyAlignment="1">
      <alignment horizontal="left" vertical="center" wrapText="1"/>
    </xf>
    <xf numFmtId="164" fontId="0" fillId="0" borderId="12" xfId="0" applyFont="1" applyFill="1" applyBorder="1" applyAlignment="1">
      <alignment horizontal="center" vertical="center"/>
    </xf>
    <xf numFmtId="164" fontId="0" fillId="10" borderId="8" xfId="0" applyNumberFormat="1" applyFont="1" applyFill="1" applyBorder="1" applyAlignment="1">
      <alignment horizontal="left" vertical="center" wrapText="1"/>
    </xf>
    <xf numFmtId="164" fontId="22" fillId="10" borderId="34" xfId="0" applyNumberFormat="1" applyFont="1" applyFill="1" applyBorder="1" applyAlignment="1">
      <alignment horizontal="left" vertical="center" wrapText="1"/>
    </xf>
    <xf numFmtId="164" fontId="0" fillId="10" borderId="32" xfId="0" applyNumberFormat="1" applyFont="1" applyFill="1" applyBorder="1" applyAlignment="1">
      <alignment horizontal="left" vertical="center" wrapText="1"/>
    </xf>
    <xf numFmtId="164" fontId="15" fillId="10" borderId="29" xfId="0" applyNumberFormat="1" applyFont="1" applyFill="1" applyBorder="1" applyAlignment="1">
      <alignment horizontal="left" vertical="center" wrapText="1"/>
    </xf>
    <xf numFmtId="164" fontId="0" fillId="10" borderId="0" xfId="0" applyFill="1" applyBorder="1" applyAlignment="1">
      <alignment horizontal="center" vertical="center"/>
    </xf>
    <xf numFmtId="164" fontId="22" fillId="10" borderId="10" xfId="0" applyFont="1" applyFill="1" applyBorder="1" applyAlignment="1">
      <alignment horizontal="center" vertical="center"/>
    </xf>
    <xf numFmtId="164" fontId="25" fillId="10" borderId="10" xfId="0" applyFont="1" applyFill="1" applyBorder="1" applyAlignment="1">
      <alignment horizontal="left" vertical="center" wrapText="1"/>
    </xf>
    <xf numFmtId="164" fontId="25" fillId="0" borderId="10" xfId="0" applyFont="1" applyFill="1" applyBorder="1" applyAlignment="1">
      <alignment horizontal="left" vertical="center" wrapText="1"/>
    </xf>
    <xf numFmtId="164" fontId="0" fillId="10" borderId="38" xfId="0" applyFont="1" applyFill="1" applyBorder="1" applyAlignment="1">
      <alignment horizontal="left" vertical="center" wrapText="1"/>
    </xf>
    <xf numFmtId="164" fontId="0" fillId="10" borderId="39" xfId="0" applyNumberFormat="1" applyFont="1" applyFill="1" applyBorder="1" applyAlignment="1">
      <alignment horizontal="left" vertical="center" wrapText="1"/>
    </xf>
    <xf numFmtId="164" fontId="0" fillId="10" borderId="39" xfId="0" applyFont="1" applyFill="1" applyBorder="1" applyAlignment="1">
      <alignment horizontal="right" vertical="center" wrapText="1"/>
    </xf>
    <xf numFmtId="164" fontId="0" fillId="10" borderId="40" xfId="0" applyFont="1" applyFill="1" applyBorder="1" applyAlignment="1">
      <alignment horizontal="left" vertical="center" wrapText="1"/>
    </xf>
    <xf numFmtId="164" fontId="0" fillId="10" borderId="41" xfId="0" applyFont="1" applyFill="1" applyBorder="1" applyAlignment="1">
      <alignment horizontal="left" vertical="center" wrapText="1"/>
    </xf>
    <xf numFmtId="164" fontId="0" fillId="10" borderId="6" xfId="0" applyFont="1" applyFill="1" applyBorder="1" applyAlignment="1">
      <alignment vertical="center" wrapText="1"/>
    </xf>
    <xf numFmtId="164" fontId="0" fillId="9" borderId="9" xfId="0" applyFont="1" applyFill="1" applyBorder="1" applyAlignment="1">
      <alignment vertical="center" wrapText="1"/>
    </xf>
    <xf numFmtId="164" fontId="22" fillId="10" borderId="3" xfId="0" applyFont="1" applyFill="1" applyBorder="1" applyAlignment="1">
      <alignment vertical="center" wrapText="1"/>
    </xf>
    <xf numFmtId="164" fontId="22" fillId="10" borderId="4" xfId="0" applyFont="1" applyFill="1" applyBorder="1" applyAlignment="1">
      <alignment vertical="center" wrapText="1"/>
    </xf>
    <xf numFmtId="164" fontId="22" fillId="10" borderId="5" xfId="0" applyNumberFormat="1" applyFont="1" applyFill="1" applyBorder="1" applyAlignment="1">
      <alignment vertical="center" wrapText="1"/>
    </xf>
    <xf numFmtId="164" fontId="22" fillId="10" borderId="7" xfId="0" applyFont="1" applyFill="1" applyBorder="1" applyAlignment="1">
      <alignment vertical="center" wrapText="1"/>
    </xf>
    <xf numFmtId="164" fontId="22" fillId="10" borderId="8" xfId="0" applyFont="1" applyFill="1" applyBorder="1" applyAlignment="1">
      <alignment vertical="center" wrapText="1"/>
    </xf>
    <xf numFmtId="164" fontId="22" fillId="10" borderId="9" xfId="0" applyFont="1" applyFill="1" applyBorder="1" applyAlignment="1">
      <alignment vertical="center" wrapText="1"/>
    </xf>
    <xf numFmtId="164" fontId="22" fillId="10" borderId="6" xfId="0" applyFont="1" applyFill="1" applyBorder="1" applyAlignment="1">
      <alignment vertical="center" wrapText="1"/>
    </xf>
    <xf numFmtId="164" fontId="22" fillId="0" borderId="29" xfId="0" applyNumberFormat="1" applyFont="1" applyFill="1" applyBorder="1" applyAlignment="1">
      <alignment horizontal="left" vertical="center" wrapText="1"/>
    </xf>
    <xf numFmtId="164" fontId="22" fillId="0" borderId="3" xfId="0" applyNumberFormat="1" applyFont="1" applyFill="1" applyBorder="1" applyAlignment="1">
      <alignment horizontal="left" vertical="center" wrapText="1"/>
    </xf>
    <xf numFmtId="164" fontId="22" fillId="0" borderId="29" xfId="0" applyNumberFormat="1" applyFont="1" applyFill="1" applyBorder="1" applyAlignment="1">
      <alignment horizontal="left" vertical="center" wrapText="1"/>
    </xf>
    <xf numFmtId="164" fontId="16" fillId="10" borderId="49" xfId="0" applyFont="1" applyFill="1" applyBorder="1" applyAlignment="1">
      <alignment horizontal="left" vertical="center" wrapText="1"/>
    </xf>
    <xf numFmtId="164" fontId="16" fillId="0" borderId="10" xfId="0" applyFont="1" applyFill="1" applyBorder="1" applyAlignment="1">
      <alignment vertical="center" wrapText="1"/>
    </xf>
    <xf numFmtId="164" fontId="16" fillId="16" borderId="6" xfId="0" applyNumberFormat="1" applyFont="1" applyFill="1" applyBorder="1" applyAlignment="1">
      <alignment horizontal="left" vertical="center" wrapText="1"/>
    </xf>
    <xf numFmtId="164" fontId="0" fillId="0" borderId="14" xfId="0" applyNumberFormat="1" applyFill="1" applyBorder="1" applyAlignment="1">
      <alignment horizontal="left" vertical="center" wrapText="1"/>
    </xf>
    <xf numFmtId="164" fontId="0" fillId="0" borderId="50" xfId="0" applyFont="1" applyFill="1" applyBorder="1" applyAlignment="1">
      <alignment horizontal="left" vertical="center" wrapText="1"/>
    </xf>
    <xf numFmtId="164" fontId="22" fillId="10" borderId="3" xfId="0" applyNumberFormat="1" applyFont="1" applyFill="1" applyBorder="1" applyAlignment="1">
      <alignment horizontal="left" vertical="center" wrapText="1"/>
    </xf>
    <xf numFmtId="164" fontId="22" fillId="10" borderId="8" xfId="0" applyFont="1" applyFill="1" applyBorder="1" applyAlignment="1">
      <alignment horizontal="left" vertical="center" wrapText="1"/>
    </xf>
    <xf numFmtId="164" fontId="15" fillId="10" borderId="10" xfId="0" applyNumberFormat="1" applyFont="1" applyFill="1" applyBorder="1" applyAlignment="1">
      <alignment vertical="center" wrapText="1"/>
    </xf>
    <xf numFmtId="164" fontId="16" fillId="9" borderId="9" xfId="0" applyNumberFormat="1" applyFont="1" applyFill="1" applyBorder="1" applyAlignment="1">
      <alignment horizontal="left" vertical="center" wrapText="1"/>
    </xf>
    <xf numFmtId="164" fontId="22" fillId="9" borderId="6" xfId="0" applyFont="1" applyFill="1" applyBorder="1" applyAlignment="1">
      <alignment horizontal="left" vertical="center" wrapText="1"/>
    </xf>
    <xf numFmtId="164" fontId="22" fillId="10" borderId="3" xfId="0" applyNumberFormat="1" applyFont="1" applyFill="1" applyBorder="1" applyAlignment="1">
      <alignment horizontal="left" vertical="center" wrapText="1"/>
    </xf>
    <xf numFmtId="164" fontId="15" fillId="10" borderId="6" xfId="0" applyNumberFormat="1" applyFont="1" applyFill="1" applyBorder="1" applyAlignment="1">
      <alignment vertical="center" wrapText="1"/>
    </xf>
    <xf numFmtId="164" fontId="15" fillId="10" borderId="51" xfId="0" applyNumberFormat="1" applyFont="1" applyFill="1" applyBorder="1" applyAlignment="1">
      <alignment horizontal="left" vertical="center" wrapText="1"/>
    </xf>
    <xf numFmtId="164" fontId="22" fillId="9" borderId="31" xfId="0" applyNumberFormat="1" applyFont="1" applyFill="1" applyBorder="1" applyAlignment="1">
      <alignment vertical="center" wrapText="1"/>
    </xf>
    <xf numFmtId="164" fontId="22" fillId="9" borderId="6" xfId="0" applyNumberFormat="1" applyFont="1" applyFill="1" applyBorder="1" applyAlignment="1">
      <alignment vertical="center" wrapText="1"/>
    </xf>
    <xf numFmtId="164" fontId="22" fillId="9" borderId="5" xfId="0" applyFont="1" applyFill="1" applyBorder="1" applyAlignment="1">
      <alignment vertical="center" wrapText="1"/>
    </xf>
    <xf numFmtId="164" fontId="22" fillId="10" borderId="31" xfId="0" applyNumberFormat="1" applyFont="1" applyFill="1" applyBorder="1" applyAlignment="1">
      <alignment vertical="center" wrapText="1"/>
    </xf>
    <xf numFmtId="164" fontId="0" fillId="16" borderId="7" xfId="0" applyFont="1" applyFill="1" applyBorder="1" applyAlignment="1">
      <alignment vertical="center" wrapText="1"/>
    </xf>
    <xf numFmtId="164" fontId="0" fillId="16" borderId="8" xfId="0" applyFont="1" applyFill="1" applyBorder="1" applyAlignment="1">
      <alignment horizontal="left" vertical="center" wrapText="1"/>
    </xf>
    <xf numFmtId="164" fontId="15" fillId="16" borderId="31" xfId="0" applyFont="1" applyFill="1" applyBorder="1" applyAlignment="1">
      <alignment horizontal="left" vertical="center" wrapText="1"/>
    </xf>
    <xf numFmtId="164" fontId="15" fillId="16" borderId="6" xfId="0" applyFont="1" applyFill="1" applyBorder="1" applyAlignment="1">
      <alignment horizontal="left" vertical="center" wrapText="1"/>
    </xf>
    <xf numFmtId="164" fontId="15" fillId="16" borderId="30" xfId="0" applyFont="1" applyFill="1" applyBorder="1" applyAlignment="1">
      <alignment horizontal="left" vertical="center" wrapText="1"/>
    </xf>
    <xf numFmtId="164" fontId="22" fillId="16" borderId="31" xfId="0" applyNumberFormat="1" applyFont="1" applyFill="1" applyBorder="1" applyAlignment="1">
      <alignment vertical="center" wrapText="1"/>
    </xf>
    <xf numFmtId="164" fontId="22" fillId="16" borderId="6" xfId="0" applyNumberFormat="1" applyFont="1" applyFill="1" applyBorder="1" applyAlignment="1">
      <alignment horizontal="left" vertical="center" wrapText="1"/>
    </xf>
    <xf numFmtId="164" fontId="22" fillId="16" borderId="5" xfId="0" applyFont="1" applyFill="1" applyBorder="1" applyAlignment="1">
      <alignment vertical="center" wrapText="1"/>
    </xf>
    <xf numFmtId="164" fontId="15" fillId="10" borderId="30" xfId="0" applyFont="1" applyFill="1" applyBorder="1" applyAlignment="1">
      <alignment horizontal="left" vertical="center" wrapText="1"/>
    </xf>
    <xf numFmtId="164" fontId="22" fillId="16" borderId="9" xfId="0" applyNumberFormat="1" applyFont="1" applyFill="1" applyBorder="1" applyAlignment="1">
      <alignment vertical="center" wrapText="1"/>
    </xf>
    <xf numFmtId="164" fontId="22" fillId="16" borderId="6" xfId="0" applyFont="1" applyFill="1" applyBorder="1" applyAlignment="1">
      <alignment horizontal="left" vertical="center" wrapText="1"/>
    </xf>
    <xf numFmtId="164" fontId="0" fillId="16" borderId="9" xfId="0" applyFont="1" applyFill="1" applyBorder="1" applyAlignment="1">
      <alignment horizontal="left" vertical="center" wrapText="1"/>
    </xf>
    <xf numFmtId="164" fontId="0" fillId="16" borderId="6" xfId="0" applyFont="1" applyFill="1" applyBorder="1" applyAlignment="1">
      <alignment horizontal="left" vertical="center" wrapText="1"/>
    </xf>
    <xf numFmtId="164" fontId="22" fillId="16" borderId="31" xfId="0" applyFont="1" applyFill="1" applyBorder="1" applyAlignment="1">
      <alignment horizontal="left" vertical="center" wrapText="1"/>
    </xf>
    <xf numFmtId="164" fontId="22" fillId="16" borderId="30" xfId="0" applyFont="1" applyFill="1" applyBorder="1" applyAlignment="1">
      <alignment horizontal="left" vertical="center" wrapText="1"/>
    </xf>
    <xf numFmtId="164" fontId="0" fillId="0" borderId="0" xfId="0" applyNumberFormat="1" applyFill="1" applyAlignment="1">
      <alignment horizontal="right" vertical="center" wrapText="1"/>
    </xf>
    <xf numFmtId="164" fontId="0" fillId="0" borderId="8" xfId="0" applyNumberFormat="1" applyFont="1" applyFill="1" applyBorder="1" applyAlignment="1">
      <alignment horizontal="right" vertical="center" wrapText="1"/>
    </xf>
    <xf numFmtId="164" fontId="22" fillId="0" borderId="30" xfId="0" applyFont="1" applyFill="1" applyBorder="1" applyAlignment="1">
      <alignment vertical="center" wrapText="1"/>
    </xf>
    <xf numFmtId="164" fontId="15" fillId="0" borderId="30" xfId="0" applyFont="1" applyFill="1" applyBorder="1" applyAlignment="1">
      <alignment horizontal="left" vertical="center" wrapText="1"/>
    </xf>
    <xf numFmtId="164" fontId="16" fillId="0" borderId="6" xfId="0" applyNumberFormat="1" applyFont="1" applyFill="1" applyBorder="1" applyAlignment="1">
      <alignment horizontal="left" vertical="center" wrapText="1"/>
    </xf>
    <xf numFmtId="164" fontId="15" fillId="10" borderId="9" xfId="0" applyFont="1" applyFill="1" applyBorder="1" applyAlignment="1">
      <alignment horizontal="center" vertical="center" wrapText="1"/>
    </xf>
    <xf numFmtId="164" fontId="15" fillId="10" borderId="6" xfId="0" applyNumberFormat="1" applyFont="1" applyFill="1" applyBorder="1" applyAlignment="1">
      <alignment horizontal="center" vertical="center" wrapText="1"/>
    </xf>
    <xf numFmtId="164" fontId="15" fillId="10" borderId="10" xfId="0" applyNumberFormat="1" applyFont="1" applyFill="1" applyBorder="1" applyAlignment="1">
      <alignment horizontal="center" vertical="center" wrapText="1"/>
    </xf>
    <xf numFmtId="164" fontId="15" fillId="16" borderId="10" xfId="0" applyNumberFormat="1" applyFont="1" applyFill="1" applyBorder="1" applyAlignment="1">
      <alignment horizontal="left" vertical="center" wrapText="1"/>
    </xf>
    <xf numFmtId="164" fontId="0" fillId="0" borderId="6" xfId="0" applyFont="1" applyFill="1" applyBorder="1" applyAlignment="1">
      <alignment horizontal="center" vertical="center" wrapText="1"/>
    </xf>
    <xf numFmtId="164" fontId="16" fillId="16" borderId="9" xfId="0" applyNumberFormat="1" applyFont="1" applyFill="1" applyBorder="1" applyAlignment="1">
      <alignment vertical="center" wrapText="1"/>
    </xf>
    <xf numFmtId="164" fontId="16" fillId="16" borderId="10" xfId="0" applyNumberFormat="1" applyFont="1" applyFill="1" applyBorder="1" applyAlignment="1">
      <alignment horizontal="left" vertical="center" wrapText="1"/>
    </xf>
    <xf numFmtId="164" fontId="0" fillId="16" borderId="6" xfId="0" applyNumberFormat="1" applyFont="1" applyFill="1" applyBorder="1" applyAlignment="1">
      <alignment horizontal="left" vertical="center" wrapText="1"/>
    </xf>
    <xf numFmtId="164" fontId="22" fillId="10" borderId="7" xfId="0" applyNumberFormat="1" applyFont="1" applyFill="1" applyBorder="1" applyAlignment="1">
      <alignment horizontal="left" vertical="center" wrapText="1"/>
    </xf>
    <xf numFmtId="164" fontId="0" fillId="0" borderId="8" xfId="0" applyFont="1" applyFill="1" applyBorder="1" applyAlignment="1">
      <alignment horizontal="center" vertical="center" wrapText="1"/>
    </xf>
    <xf numFmtId="164" fontId="16" fillId="0" borderId="52" xfId="0" applyNumberFormat="1" applyFont="1" applyFill="1" applyBorder="1" applyAlignment="1">
      <alignment horizontal="left" vertical="center" wrapText="1"/>
    </xf>
    <xf numFmtId="164" fontId="16" fillId="0" borderId="38" xfId="0" applyNumberFormat="1" applyFont="1" applyFill="1" applyBorder="1" applyAlignment="1">
      <alignment vertical="center" wrapText="1"/>
    </xf>
    <xf numFmtId="164" fontId="16" fillId="0" borderId="38" xfId="0" applyNumberFormat="1" applyFont="1" applyFill="1" applyBorder="1" applyAlignment="1">
      <alignment horizontal="left" vertical="center" wrapText="1"/>
    </xf>
    <xf numFmtId="164" fontId="0" fillId="10" borderId="11" xfId="0" applyNumberFormat="1" applyFill="1" applyBorder="1" applyAlignment="1">
      <alignment horizontal="left" vertical="center" wrapText="1"/>
    </xf>
    <xf numFmtId="164" fontId="16" fillId="9" borderId="6" xfId="0" applyFont="1" applyFill="1" applyBorder="1" applyAlignment="1">
      <alignment horizontal="left" vertical="center" wrapText="1"/>
    </xf>
    <xf numFmtId="164" fontId="16" fillId="9" borderId="10" xfId="0" applyNumberFormat="1" applyFont="1" applyFill="1" applyBorder="1" applyAlignment="1">
      <alignment horizontal="left" vertical="center" wrapText="1"/>
    </xf>
    <xf numFmtId="164" fontId="22" fillId="10" borderId="7" xfId="0" applyFont="1" applyFill="1" applyBorder="1" applyAlignment="1">
      <alignment horizontal="left" vertical="center" wrapText="1"/>
    </xf>
    <xf numFmtId="164" fontId="22" fillId="10" borderId="29" xfId="0" applyNumberFormat="1" applyFont="1" applyFill="1" applyBorder="1" applyAlignment="1">
      <alignment horizontal="left" vertical="center" wrapText="1"/>
    </xf>
    <xf numFmtId="164" fontId="22" fillId="16" borderId="5" xfId="0" applyNumberFormat="1" applyFont="1" applyFill="1" applyBorder="1" applyAlignment="1">
      <alignment horizontal="left" vertical="center" wrapText="1"/>
    </xf>
    <xf numFmtId="164" fontId="22" fillId="16" borderId="6" xfId="0" applyNumberFormat="1" applyFont="1" applyFill="1" applyBorder="1" applyAlignment="1">
      <alignment horizontal="right" vertical="center" wrapText="1"/>
    </xf>
    <xf numFmtId="164" fontId="15" fillId="0" borderId="5" xfId="0" applyNumberFormat="1" applyFont="1" applyFill="1" applyBorder="1" applyAlignment="1">
      <alignment horizontal="left" vertical="center" wrapText="1"/>
    </xf>
    <xf numFmtId="164" fontId="22" fillId="0" borderId="7" xfId="0" applyFont="1" applyFill="1" applyBorder="1" applyAlignment="1">
      <alignment horizontal="left" vertical="center" wrapText="1"/>
    </xf>
    <xf numFmtId="164" fontId="22" fillId="0" borderId="9" xfId="0" applyNumberFormat="1" applyFont="1" applyFill="1" applyBorder="1" applyAlignment="1">
      <alignment horizontal="left" vertical="center" wrapText="1"/>
    </xf>
    <xf numFmtId="164" fontId="26" fillId="0" borderId="6" xfId="0" applyFont="1" applyFill="1" applyBorder="1" applyAlignment="1">
      <alignment horizontal="left" vertical="center" wrapText="1"/>
    </xf>
    <xf numFmtId="164" fontId="22" fillId="0" borderId="11" xfId="0" applyFont="1" applyFill="1" applyBorder="1" applyAlignment="1">
      <alignment/>
    </xf>
    <xf numFmtId="164" fontId="22" fillId="0" borderId="0" xfId="0" applyFont="1" applyFill="1" applyAlignment="1">
      <alignment/>
    </xf>
    <xf numFmtId="164" fontId="24" fillId="0" borderId="6" xfId="0" applyNumberFormat="1" applyFont="1" applyFill="1" applyBorder="1" applyAlignment="1">
      <alignment horizontal="left" vertical="center" wrapText="1"/>
    </xf>
    <xf numFmtId="164" fontId="16" fillId="0" borderId="6" xfId="0" applyFont="1" applyFill="1" applyBorder="1" applyAlignment="1">
      <alignment vertical="center" wrapText="1"/>
    </xf>
    <xf numFmtId="164" fontId="0" fillId="0" borderId="32" xfId="0" applyFont="1" applyFill="1" applyBorder="1" applyAlignment="1">
      <alignment horizontal="left" vertical="center" wrapText="1"/>
    </xf>
    <xf numFmtId="164" fontId="15" fillId="0" borderId="12" xfId="0" applyNumberFormat="1" applyFont="1" applyFill="1" applyBorder="1" applyAlignment="1">
      <alignment horizontal="left" vertical="center" wrapText="1"/>
    </xf>
    <xf numFmtId="164" fontId="0" fillId="10" borderId="5" xfId="0" applyNumberFormat="1" applyFont="1" applyFill="1" applyBorder="1" applyAlignment="1">
      <alignment horizontal="right" vertical="center" wrapText="1"/>
    </xf>
    <xf numFmtId="164" fontId="0" fillId="10" borderId="32" xfId="0" applyFont="1" applyFill="1" applyBorder="1" applyAlignment="1">
      <alignment vertical="center" wrapText="1"/>
    </xf>
    <xf numFmtId="164" fontId="0" fillId="10" borderId="10" xfId="0" applyFont="1" applyFill="1" applyBorder="1" applyAlignment="1">
      <alignment vertical="center" wrapText="1"/>
    </xf>
    <xf numFmtId="164" fontId="0" fillId="9" borderId="32" xfId="0" applyFont="1" applyFill="1" applyBorder="1" applyAlignment="1">
      <alignment vertical="center" wrapText="1"/>
    </xf>
    <xf numFmtId="164" fontId="0" fillId="10" borderId="3" xfId="0" applyNumberFormat="1" applyFont="1" applyFill="1" applyBorder="1" applyAlignment="1">
      <alignment vertical="center" wrapText="1"/>
    </xf>
    <xf numFmtId="164" fontId="0" fillId="10" borderId="32" xfId="0" applyNumberFormat="1" applyFont="1" applyFill="1" applyBorder="1" applyAlignment="1">
      <alignment vertical="center" wrapText="1"/>
    </xf>
    <xf numFmtId="164" fontId="17" fillId="0" borderId="6" xfId="0" applyFont="1" applyFill="1" applyBorder="1" applyAlignment="1">
      <alignment horizontal="left" vertical="center" wrapText="1"/>
    </xf>
    <xf numFmtId="164" fontId="0" fillId="0" borderId="6" xfId="0" applyFont="1" applyFill="1" applyBorder="1" applyAlignment="1">
      <alignment vertical="center" wrapText="1"/>
    </xf>
    <xf numFmtId="164" fontId="0" fillId="0" borderId="32" xfId="0" applyNumberFormat="1" applyFont="1" applyFill="1" applyBorder="1" applyAlignment="1">
      <alignment vertical="center" wrapText="1"/>
    </xf>
    <xf numFmtId="164" fontId="16" fillId="0" borderId="4" xfId="0" applyNumberFormat="1" applyFont="1" applyFill="1" applyBorder="1" applyAlignment="1">
      <alignment horizontal="left" vertical="center" wrapText="1"/>
    </xf>
    <xf numFmtId="164" fontId="15" fillId="16" borderId="9" xfId="0" applyNumberFormat="1" applyFont="1" applyFill="1" applyBorder="1" applyAlignment="1">
      <alignment horizontal="left" vertical="center" wrapText="1"/>
    </xf>
    <xf numFmtId="164" fontId="15" fillId="16" borderId="6" xfId="0" applyNumberFormat="1" applyFont="1" applyFill="1" applyBorder="1" applyAlignment="1">
      <alignment horizontal="left" vertical="center" wrapText="1"/>
    </xf>
    <xf numFmtId="164" fontId="15" fillId="16" borderId="6" xfId="0" applyNumberFormat="1" applyFont="1" applyFill="1" applyBorder="1" applyAlignment="1">
      <alignment horizontal="left" vertical="center" wrapText="1"/>
    </xf>
    <xf numFmtId="164" fontId="22" fillId="9" borderId="29" xfId="0" applyNumberFormat="1" applyFont="1" applyFill="1" applyBorder="1" applyAlignment="1">
      <alignment vertical="center" wrapText="1"/>
    </xf>
    <xf numFmtId="164" fontId="16" fillId="9" borderId="6" xfId="0" applyFont="1" applyFill="1" applyBorder="1" applyAlignment="1">
      <alignment vertical="center" wrapText="1"/>
    </xf>
    <xf numFmtId="164" fontId="22" fillId="0" borderId="29" xfId="0" applyNumberFormat="1" applyFont="1" applyFill="1" applyBorder="1" applyAlignment="1">
      <alignment vertical="center" wrapText="1"/>
    </xf>
    <xf numFmtId="164" fontId="15" fillId="16" borderId="3" xfId="0" applyFont="1" applyFill="1" applyBorder="1" applyAlignment="1">
      <alignment horizontal="left" vertical="center" wrapText="1"/>
    </xf>
    <xf numFmtId="164" fontId="22" fillId="0" borderId="30" xfId="0" applyNumberFormat="1" applyFont="1" applyFill="1" applyBorder="1" applyAlignment="1">
      <alignment horizontal="left" vertical="center" wrapText="1"/>
    </xf>
    <xf numFmtId="164" fontId="22" fillId="0" borderId="9" xfId="0" applyNumberFormat="1" applyFont="1" applyFill="1" applyBorder="1" applyAlignment="1">
      <alignment vertical="center" wrapText="1"/>
    </xf>
    <xf numFmtId="164" fontId="22" fillId="0" borderId="30" xfId="0" applyNumberFormat="1" applyFont="1" applyFill="1" applyBorder="1" applyAlignment="1">
      <alignment horizontal="left" vertical="center" wrapText="1"/>
    </xf>
    <xf numFmtId="164" fontId="15" fillId="0" borderId="10" xfId="0" applyFont="1" applyFill="1" applyBorder="1" applyAlignment="1">
      <alignment horizontal="left" vertical="center" wrapText="1"/>
    </xf>
    <xf numFmtId="164" fontId="16" fillId="0" borderId="10" xfId="0" applyNumberFormat="1" applyFont="1" applyFill="1" applyBorder="1" applyAlignment="1">
      <alignment horizontal="right" vertical="center" wrapText="1"/>
    </xf>
    <xf numFmtId="164" fontId="15" fillId="10" borderId="9" xfId="0" applyNumberFormat="1" applyFont="1" applyFill="1" applyBorder="1" applyAlignment="1">
      <alignment horizontal="left" vertical="center" wrapText="1"/>
    </xf>
    <xf numFmtId="164" fontId="22" fillId="9" borderId="31" xfId="0" applyNumberFormat="1" applyFont="1" applyFill="1" applyBorder="1" applyAlignment="1">
      <alignment horizontal="left" vertical="center" wrapText="1"/>
    </xf>
    <xf numFmtId="164" fontId="22" fillId="9" borderId="6" xfId="0" applyNumberFormat="1" applyFont="1" applyFill="1" applyBorder="1" applyAlignment="1">
      <alignment horizontal="left" vertical="center" wrapText="1"/>
    </xf>
    <xf numFmtId="164" fontId="22" fillId="9" borderId="5" xfId="0" applyNumberFormat="1" applyFont="1" applyFill="1" applyBorder="1" applyAlignment="1">
      <alignment horizontal="left" vertical="center" wrapText="1"/>
    </xf>
    <xf numFmtId="164" fontId="0" fillId="0" borderId="3" xfId="0" applyNumberFormat="1" applyFont="1" applyFill="1" applyBorder="1" applyAlignment="1">
      <alignment vertical="center" wrapText="1"/>
    </xf>
    <xf numFmtId="164" fontId="0" fillId="10" borderId="11" xfId="0" applyFont="1" applyFill="1" applyBorder="1" applyAlignment="1">
      <alignment/>
    </xf>
    <xf numFmtId="164" fontId="0" fillId="10" borderId="0" xfId="0" applyFont="1" applyFill="1" applyAlignment="1">
      <alignment/>
    </xf>
    <xf numFmtId="164" fontId="0" fillId="10" borderId="0" xfId="0" applyFill="1" applyAlignment="1">
      <alignment/>
    </xf>
    <xf numFmtId="164" fontId="16" fillId="10" borderId="30" xfId="0" applyNumberFormat="1" applyFont="1" applyFill="1" applyBorder="1" applyAlignment="1">
      <alignment horizontal="left" vertical="center" wrapText="1"/>
    </xf>
    <xf numFmtId="164" fontId="22" fillId="10" borderId="9" xfId="0" applyNumberFormat="1" applyFont="1" applyFill="1" applyBorder="1" applyAlignment="1">
      <alignment horizontal="left" vertical="center" wrapText="1"/>
    </xf>
    <xf numFmtId="164" fontId="22" fillId="10" borderId="6" xfId="0" applyNumberFormat="1" applyFont="1" applyFill="1" applyBorder="1" applyAlignment="1">
      <alignment horizontal="left" vertical="center" wrapText="1"/>
    </xf>
    <xf numFmtId="164" fontId="0" fillId="0" borderId="4" xfId="0" applyNumberFormat="1" applyFill="1" applyBorder="1" applyAlignment="1">
      <alignment horizontal="left" vertical="center" wrapText="1"/>
    </xf>
    <xf numFmtId="164" fontId="0" fillId="0" borderId="45" xfId="0" applyFont="1" applyFill="1" applyBorder="1" applyAlignment="1">
      <alignment horizontal="left" vertical="center" wrapText="1"/>
    </xf>
    <xf numFmtId="164" fontId="0" fillId="16" borderId="7" xfId="0" applyFont="1" applyFill="1" applyBorder="1" applyAlignment="1">
      <alignment horizontal="left" vertical="center" wrapText="1"/>
    </xf>
    <xf numFmtId="164" fontId="15" fillId="10" borderId="42" xfId="0" applyNumberFormat="1" applyFont="1" applyFill="1" applyBorder="1" applyAlignment="1">
      <alignment horizontal="left" vertical="center" wrapText="1"/>
    </xf>
    <xf numFmtId="164" fontId="0" fillId="9" borderId="4" xfId="0" applyNumberFormat="1" applyFill="1" applyBorder="1" applyAlignment="1">
      <alignment horizontal="left" vertical="center" wrapText="1"/>
    </xf>
    <xf numFmtId="164" fontId="22" fillId="0" borderId="7" xfId="0" applyFont="1" applyFill="1" applyBorder="1" applyAlignment="1">
      <alignment vertical="center" wrapText="1"/>
    </xf>
    <xf numFmtId="164" fontId="15" fillId="0" borderId="10" xfId="0" applyNumberFormat="1" applyFont="1" applyFill="1" applyBorder="1" applyAlignment="1">
      <alignment vertical="center" wrapText="1"/>
    </xf>
    <xf numFmtId="164" fontId="27" fillId="0" borderId="8" xfId="0" applyNumberFormat="1" applyFont="1" applyFill="1" applyBorder="1" applyAlignment="1">
      <alignment horizontal="left" vertical="center" wrapText="1"/>
    </xf>
    <xf numFmtId="164" fontId="22" fillId="0" borderId="3" xfId="0" applyNumberFormat="1" applyFont="1" applyFill="1" applyBorder="1" applyAlignment="1">
      <alignment horizontal="left" vertical="center" wrapText="1"/>
    </xf>
    <xf numFmtId="165" fontId="16" fillId="0" borderId="10" xfId="0" applyNumberFormat="1" applyFont="1" applyFill="1" applyBorder="1" applyAlignment="1">
      <alignment vertical="center" wrapText="1"/>
    </xf>
    <xf numFmtId="164" fontId="15" fillId="0" borderId="6" xfId="0" applyNumberFormat="1" applyFont="1" applyFill="1" applyBorder="1" applyAlignment="1">
      <alignment vertical="center" wrapText="1"/>
    </xf>
    <xf numFmtId="164" fontId="16" fillId="0" borderId="31" xfId="0" applyNumberFormat="1" applyFont="1" applyFill="1" applyBorder="1" applyAlignment="1">
      <alignment horizontal="left" vertical="center" wrapText="1"/>
    </xf>
    <xf numFmtId="164" fontId="22" fillId="0" borderId="7" xfId="0" applyNumberFormat="1" applyFont="1" applyFill="1" applyBorder="1" applyAlignment="1">
      <alignment horizontal="left" vertical="center" wrapText="1"/>
    </xf>
    <xf numFmtId="164" fontId="0" fillId="16" borderId="6" xfId="0" applyFont="1" applyFill="1" applyBorder="1" applyAlignment="1">
      <alignment horizontal="right" vertical="center" wrapText="1"/>
    </xf>
    <xf numFmtId="164" fontId="0" fillId="0" borderId="31" xfId="0" applyNumberFormat="1" applyFont="1" applyFill="1" applyBorder="1" applyAlignment="1">
      <alignment horizontal="left" vertical="center" wrapText="1"/>
    </xf>
    <xf numFmtId="164" fontId="16" fillId="0" borderId="31" xfId="0" applyFont="1" applyFill="1" applyBorder="1" applyAlignment="1">
      <alignment horizontal="left" vertical="center" wrapText="1"/>
    </xf>
    <xf numFmtId="164" fontId="21" fillId="0" borderId="6" xfId="0" applyNumberFormat="1" applyFont="1" applyFill="1" applyBorder="1" applyAlignment="1">
      <alignment horizontal="right" vertical="center" wrapText="1"/>
    </xf>
    <xf numFmtId="164" fontId="21" fillId="10" borderId="6" xfId="0" applyNumberFormat="1" applyFont="1" applyFill="1" applyBorder="1" applyAlignment="1">
      <alignment horizontal="right" vertical="center" wrapText="1"/>
    </xf>
    <xf numFmtId="164" fontId="16" fillId="0" borderId="30" xfId="0" applyNumberFormat="1" applyFont="1" applyFill="1" applyBorder="1" applyAlignment="1">
      <alignment horizontal="left" vertical="center" wrapText="1"/>
    </xf>
    <xf numFmtId="164" fontId="0" fillId="10" borderId="7" xfId="0" applyFont="1" applyFill="1" applyBorder="1" applyAlignment="1">
      <alignment vertical="center" wrapText="1"/>
    </xf>
    <xf numFmtId="164" fontId="0" fillId="0" borderId="11" xfId="0" applyFill="1" applyBorder="1" applyAlignment="1">
      <alignment vertical="center"/>
    </xf>
    <xf numFmtId="164" fontId="0" fillId="0" borderId="0" xfId="0" applyFill="1" applyAlignment="1">
      <alignment vertical="center"/>
    </xf>
    <xf numFmtId="164" fontId="0" fillId="0" borderId="41" xfId="0" applyNumberFormat="1" applyFont="1" applyFill="1" applyBorder="1" applyAlignment="1">
      <alignment vertical="center" wrapText="1"/>
    </xf>
    <xf numFmtId="164" fontId="22" fillId="0" borderId="34" xfId="0" applyNumberFormat="1" applyFont="1" applyFill="1" applyBorder="1" applyAlignment="1">
      <alignment horizontal="left" vertical="center" wrapText="1"/>
    </xf>
    <xf numFmtId="164" fontId="0" fillId="0" borderId="19" xfId="0" applyFont="1" applyFill="1" applyBorder="1" applyAlignment="1">
      <alignment horizontal="left" vertical="center" wrapText="1"/>
    </xf>
    <xf numFmtId="164" fontId="17" fillId="0" borderId="37" xfId="0" applyFont="1" applyFill="1" applyBorder="1" applyAlignment="1">
      <alignment horizontal="left" vertical="center" wrapText="1"/>
    </xf>
    <xf numFmtId="164" fontId="0" fillId="16" borderId="8" xfId="0" applyNumberFormat="1" applyFont="1" applyFill="1" applyBorder="1" applyAlignment="1">
      <alignment horizontal="left" vertical="center" wrapText="1"/>
    </xf>
    <xf numFmtId="164" fontId="0" fillId="0" borderId="48" xfId="0" applyNumberFormat="1" applyFont="1" applyFill="1" applyBorder="1" applyAlignment="1">
      <alignment vertical="center" wrapText="1"/>
    </xf>
    <xf numFmtId="164" fontId="0" fillId="4" borderId="3" xfId="0" applyFont="1" applyFill="1" applyBorder="1" applyAlignment="1">
      <alignment horizontal="left" vertical="center" wrapText="1"/>
    </xf>
    <xf numFmtId="164" fontId="0" fillId="4" borderId="4" xfId="0" applyFont="1" applyFill="1" applyBorder="1" applyAlignment="1">
      <alignment horizontal="left" vertical="center" wrapText="1"/>
    </xf>
    <xf numFmtId="164" fontId="0" fillId="4" borderId="5" xfId="0" applyNumberFormat="1" applyFont="1" applyFill="1" applyBorder="1" applyAlignment="1">
      <alignment horizontal="left" vertical="center" wrapText="1"/>
    </xf>
    <xf numFmtId="164" fontId="0" fillId="4" borderId="6" xfId="0" applyNumberFormat="1" applyFont="1" applyFill="1" applyBorder="1" applyAlignment="1">
      <alignment horizontal="left" vertical="center" wrapText="1"/>
    </xf>
    <xf numFmtId="164" fontId="0" fillId="4" borderId="6" xfId="0" applyFont="1" applyFill="1" applyBorder="1" applyAlignment="1">
      <alignment horizontal="right" vertical="center" wrapText="1"/>
    </xf>
    <xf numFmtId="164" fontId="0" fillId="4" borderId="7" xfId="0" applyFont="1" applyFill="1" applyBorder="1" applyAlignment="1">
      <alignment horizontal="left" vertical="center" wrapText="1"/>
    </xf>
    <xf numFmtId="164" fontId="0" fillId="4" borderId="8" xfId="0" applyNumberFormat="1" applyFont="1" applyFill="1" applyBorder="1" applyAlignment="1">
      <alignment horizontal="left" vertical="center" wrapText="1"/>
    </xf>
    <xf numFmtId="164" fontId="15" fillId="4" borderId="9" xfId="0" applyNumberFormat="1" applyFont="1" applyFill="1" applyBorder="1" applyAlignment="1">
      <alignment horizontal="left" vertical="center" wrapText="1"/>
    </xf>
    <xf numFmtId="164" fontId="24" fillId="4" borderId="6" xfId="0" applyFont="1" applyFill="1" applyBorder="1" applyAlignment="1">
      <alignment horizontal="left" vertical="center" wrapText="1"/>
    </xf>
    <xf numFmtId="164" fontId="15" fillId="4" borderId="10" xfId="0" applyNumberFormat="1" applyFont="1" applyFill="1" applyBorder="1" applyAlignment="1">
      <alignment horizontal="left" vertical="center" wrapText="1"/>
    </xf>
    <xf numFmtId="164" fontId="0" fillId="4" borderId="9" xfId="0" applyNumberFormat="1" applyFont="1" applyFill="1" applyBorder="1" applyAlignment="1">
      <alignment horizontal="left" vertical="center" wrapText="1"/>
    </xf>
    <xf numFmtId="164" fontId="0" fillId="4" borderId="6" xfId="0" applyNumberFormat="1" applyFont="1" applyFill="1" applyBorder="1" applyAlignment="1">
      <alignment vertical="center" wrapText="1"/>
    </xf>
    <xf numFmtId="164" fontId="0" fillId="4" borderId="10" xfId="0" applyNumberFormat="1" applyFont="1" applyFill="1" applyBorder="1" applyAlignment="1">
      <alignment vertical="center" wrapText="1"/>
    </xf>
    <xf numFmtId="164" fontId="0" fillId="4" borderId="9" xfId="0" applyFont="1" applyFill="1" applyBorder="1" applyAlignment="1">
      <alignment horizontal="left" vertical="center" wrapText="1"/>
    </xf>
    <xf numFmtId="164" fontId="0" fillId="4" borderId="10" xfId="0" applyFont="1" applyFill="1" applyBorder="1" applyAlignment="1">
      <alignment horizontal="left" vertical="center" wrapText="1"/>
    </xf>
    <xf numFmtId="164" fontId="0" fillId="4" borderId="10" xfId="0" applyFont="1" applyFill="1" applyBorder="1" applyAlignment="1">
      <alignment horizontal="center" vertical="center" wrapText="1"/>
    </xf>
    <xf numFmtId="164" fontId="0" fillId="4" borderId="6" xfId="0" applyFont="1" applyFill="1" applyBorder="1" applyAlignment="1">
      <alignment horizontal="left" vertical="center" wrapText="1"/>
    </xf>
    <xf numFmtId="164" fontId="0" fillId="4" borderId="8" xfId="0" applyFont="1" applyFill="1" applyBorder="1" applyAlignment="1">
      <alignment horizontal="left" vertical="center" wrapText="1"/>
    </xf>
    <xf numFmtId="164" fontId="15" fillId="4" borderId="9" xfId="0" applyFont="1" applyFill="1" applyBorder="1" applyAlignment="1">
      <alignment horizontal="left" vertical="center" wrapText="1"/>
    </xf>
    <xf numFmtId="164" fontId="16" fillId="4" borderId="9" xfId="0" applyNumberFormat="1" applyFont="1" applyFill="1" applyBorder="1" applyAlignment="1">
      <alignment horizontal="left" vertical="center" wrapText="1"/>
    </xf>
    <xf numFmtId="164" fontId="16" fillId="4" borderId="6" xfId="0" applyFont="1" applyFill="1" applyBorder="1" applyAlignment="1">
      <alignment vertical="center" wrapText="1"/>
    </xf>
    <xf numFmtId="164" fontId="16" fillId="4" borderId="10" xfId="0" applyNumberFormat="1" applyFont="1" applyFill="1" applyBorder="1" applyAlignment="1">
      <alignment vertical="center" wrapText="1"/>
    </xf>
    <xf numFmtId="164" fontId="0" fillId="0" borderId="32" xfId="0" applyFont="1" applyFill="1" applyBorder="1" applyAlignment="1">
      <alignment vertical="center" wrapText="1"/>
    </xf>
    <xf numFmtId="164" fontId="15" fillId="0" borderId="31" xfId="0" applyFont="1" applyFill="1" applyBorder="1" applyAlignment="1">
      <alignment vertical="center" wrapText="1"/>
    </xf>
    <xf numFmtId="164" fontId="16" fillId="0" borderId="6" xfId="0" applyNumberFormat="1" applyFont="1" applyFill="1" applyBorder="1" applyAlignment="1">
      <alignment wrapText="1"/>
    </xf>
    <xf numFmtId="164" fontId="16" fillId="9" borderId="9" xfId="0" applyNumberFormat="1" applyFont="1" applyFill="1" applyBorder="1" applyAlignment="1">
      <alignment vertical="center" wrapText="1"/>
    </xf>
    <xf numFmtId="165" fontId="16" fillId="9" borderId="10" xfId="0" applyNumberFormat="1" applyFont="1" applyFill="1" applyBorder="1" applyAlignment="1">
      <alignment vertical="center" wrapText="1"/>
    </xf>
    <xf numFmtId="164" fontId="16" fillId="16" borderId="6" xfId="0" applyNumberFormat="1" applyFont="1" applyFill="1" applyBorder="1" applyAlignment="1">
      <alignment vertical="center" wrapText="1"/>
    </xf>
    <xf numFmtId="165" fontId="16" fillId="16" borderId="10" xfId="0" applyNumberFormat="1" applyFont="1" applyFill="1" applyBorder="1" applyAlignment="1">
      <alignment vertical="center" wrapText="1"/>
    </xf>
    <xf numFmtId="164" fontId="22" fillId="0" borderId="6" xfId="0" applyNumberFormat="1" applyFont="1" applyFill="1" applyBorder="1" applyAlignment="1">
      <alignment horizontal="right" vertical="center" wrapText="1"/>
    </xf>
    <xf numFmtId="164" fontId="0" fillId="16" borderId="53" xfId="0" applyFont="1" applyFill="1" applyBorder="1" applyAlignment="1">
      <alignment horizontal="left" vertical="center" wrapText="1"/>
    </xf>
    <xf numFmtId="164" fontId="0" fillId="16" borderId="50" xfId="0" applyFill="1" applyBorder="1" applyAlignment="1">
      <alignment horizontal="left" vertical="center" wrapText="1"/>
    </xf>
    <xf numFmtId="164" fontId="0" fillId="4" borderId="7" xfId="0" applyNumberFormat="1" applyFont="1" applyFill="1" applyBorder="1" applyAlignment="1">
      <alignment horizontal="left" vertical="center" wrapText="1"/>
    </xf>
    <xf numFmtId="164" fontId="15" fillId="4" borderId="6" xfId="0" applyNumberFormat="1" applyFont="1" applyFill="1" applyBorder="1" applyAlignment="1">
      <alignment horizontal="left" vertical="center" wrapText="1"/>
    </xf>
    <xf numFmtId="164" fontId="16" fillId="4" borderId="31" xfId="0" applyFont="1" applyFill="1" applyBorder="1" applyAlignment="1">
      <alignment horizontal="left" vertical="center" wrapText="1"/>
    </xf>
    <xf numFmtId="164" fontId="16" fillId="4" borderId="6" xfId="0" applyNumberFormat="1" applyFont="1" applyFill="1" applyBorder="1" applyAlignment="1">
      <alignment horizontal="left" vertical="center" wrapText="1"/>
    </xf>
    <xf numFmtId="164" fontId="16" fillId="4" borderId="5" xfId="0" applyFont="1" applyFill="1" applyBorder="1" applyAlignment="1">
      <alignment horizontal="left" vertical="center" wrapText="1"/>
    </xf>
    <xf numFmtId="164" fontId="0" fillId="4" borderId="31" xfId="0" applyFont="1" applyFill="1" applyBorder="1" applyAlignment="1">
      <alignment horizontal="left" vertical="center" wrapText="1"/>
    </xf>
    <xf numFmtId="164" fontId="0" fillId="4" borderId="30" xfId="0" applyFont="1" applyFill="1" applyBorder="1" applyAlignment="1">
      <alignment horizontal="left" vertical="center" wrapText="1"/>
    </xf>
    <xf numFmtId="164" fontId="22" fillId="16" borderId="8" xfId="0" applyNumberFormat="1" applyFont="1" applyFill="1" applyBorder="1" applyAlignment="1">
      <alignment horizontal="left" vertical="center" wrapText="1"/>
    </xf>
    <xf numFmtId="164" fontId="15" fillId="16" borderId="9" xfId="0" applyFont="1" applyFill="1" applyBorder="1" applyAlignment="1">
      <alignment horizontal="left" vertical="center" wrapText="1"/>
    </xf>
    <xf numFmtId="164" fontId="0" fillId="16" borderId="38" xfId="0" applyFont="1" applyFill="1" applyBorder="1" applyAlignment="1">
      <alignment horizontal="left" vertical="center" wrapText="1"/>
    </xf>
    <xf numFmtId="164" fontId="0" fillId="11" borderId="38" xfId="0" applyFont="1" applyFill="1" applyBorder="1" applyAlignment="1">
      <alignment horizontal="left" vertical="center" wrapText="1"/>
    </xf>
    <xf numFmtId="164" fontId="0" fillId="11" borderId="39" xfId="0" applyNumberFormat="1" applyFont="1" applyFill="1" applyBorder="1" applyAlignment="1">
      <alignment vertical="center" wrapText="1"/>
    </xf>
    <xf numFmtId="164" fontId="0" fillId="11" borderId="39" xfId="0" applyNumberFormat="1" applyFont="1" applyFill="1" applyBorder="1" applyAlignment="1">
      <alignment horizontal="left" vertical="center" wrapText="1"/>
    </xf>
    <xf numFmtId="164" fontId="0" fillId="11" borderId="39" xfId="0" applyNumberFormat="1" applyFont="1" applyFill="1" applyBorder="1" applyAlignment="1">
      <alignment horizontal="right" vertical="center" wrapText="1"/>
    </xf>
    <xf numFmtId="164" fontId="0" fillId="16" borderId="39" xfId="0" applyNumberFormat="1" applyFont="1" applyFill="1" applyBorder="1" applyAlignment="1">
      <alignment horizontal="left" vertical="center" wrapText="1"/>
    </xf>
    <xf numFmtId="164" fontId="0" fillId="16" borderId="40" xfId="0" applyFont="1" applyFill="1" applyBorder="1" applyAlignment="1">
      <alignment horizontal="left" vertical="center" wrapText="1"/>
    </xf>
    <xf numFmtId="164" fontId="0" fillId="16" borderId="41" xfId="0" applyFont="1" applyFill="1" applyBorder="1" applyAlignment="1">
      <alignment horizontal="left" vertical="center" wrapText="1"/>
    </xf>
    <xf numFmtId="164" fontId="28" fillId="16" borderId="9" xfId="0" applyFont="1" applyFill="1" applyBorder="1" applyAlignment="1">
      <alignment horizontal="left" vertical="center" wrapText="1"/>
    </xf>
    <xf numFmtId="164" fontId="0" fillId="11" borderId="9" xfId="0" applyFont="1" applyFill="1" applyBorder="1" applyAlignment="1">
      <alignment horizontal="left" vertical="center" wrapText="1"/>
    </xf>
    <xf numFmtId="164" fontId="0" fillId="11" borderId="6" xfId="0" applyNumberFormat="1" applyFont="1" applyFill="1" applyBorder="1" applyAlignment="1">
      <alignment horizontal="left" vertical="center" wrapText="1"/>
    </xf>
    <xf numFmtId="164" fontId="0" fillId="11" borderId="10" xfId="0" applyFont="1" applyFill="1" applyBorder="1" applyAlignment="1">
      <alignment horizontal="left" vertical="center" wrapText="1"/>
    </xf>
    <xf numFmtId="164" fontId="0" fillId="11" borderId="10" xfId="0" applyFont="1" applyFill="1" applyBorder="1" applyAlignment="1">
      <alignment horizontal="center" vertical="center" wrapText="1"/>
    </xf>
    <xf numFmtId="164" fontId="0" fillId="16" borderId="39" xfId="0" applyNumberFormat="1" applyFont="1" applyFill="1" applyBorder="1" applyAlignment="1">
      <alignment horizontal="left" vertical="center" wrapText="1"/>
    </xf>
    <xf numFmtId="164" fontId="16" fillId="0" borderId="49" xfId="0" applyFont="1" applyFill="1" applyBorder="1" applyAlignment="1">
      <alignment horizontal="left" vertical="center" wrapText="1"/>
    </xf>
    <xf numFmtId="164" fontId="0" fillId="9" borderId="10" xfId="0" applyNumberFormat="1" applyFont="1" applyFill="1" applyBorder="1" applyAlignment="1">
      <alignment vertical="center" wrapText="1"/>
    </xf>
    <xf numFmtId="164" fontId="0" fillId="0" borderId="38" xfId="0" applyNumberFormat="1" applyFont="1" applyFill="1" applyBorder="1" applyAlignment="1">
      <alignment horizontal="left" vertical="center" wrapText="1"/>
    </xf>
    <xf numFmtId="164" fontId="0" fillId="0" borderId="5" xfId="0" applyNumberFormat="1" applyFont="1" applyFill="1" applyBorder="1" applyAlignment="1">
      <alignment horizontal="right" vertical="center" wrapText="1"/>
    </xf>
    <xf numFmtId="164" fontId="22" fillId="9" borderId="3" xfId="0" applyFont="1" applyFill="1" applyBorder="1" applyAlignment="1">
      <alignment horizontal="left" vertical="center" wrapText="1"/>
    </xf>
    <xf numFmtId="164" fontId="22" fillId="9" borderId="4" xfId="0" applyFont="1" applyFill="1" applyBorder="1" applyAlignment="1">
      <alignment horizontal="left" vertical="center" wrapText="1"/>
    </xf>
    <xf numFmtId="164" fontId="22" fillId="9" borderId="5" xfId="0" applyNumberFormat="1" applyFont="1" applyFill="1" applyBorder="1" applyAlignment="1">
      <alignment horizontal="left" vertical="center" wrapText="1"/>
    </xf>
    <xf numFmtId="164" fontId="22" fillId="9" borderId="6" xfId="0" applyFont="1" applyFill="1" applyBorder="1" applyAlignment="1">
      <alignment horizontal="right" vertical="center" wrapText="1"/>
    </xf>
    <xf numFmtId="164" fontId="22" fillId="9" borderId="7" xfId="0" applyNumberFormat="1" applyFont="1" applyFill="1" applyBorder="1" applyAlignment="1">
      <alignment horizontal="left" vertical="center" wrapText="1"/>
    </xf>
    <xf numFmtId="164" fontId="22" fillId="9" borderId="8" xfId="0" applyNumberFormat="1" applyFont="1" applyFill="1" applyBorder="1" applyAlignment="1">
      <alignment horizontal="left" vertical="center" wrapText="1"/>
    </xf>
    <xf numFmtId="164" fontId="22" fillId="9" borderId="9" xfId="0" applyFont="1" applyFill="1" applyBorder="1" applyAlignment="1">
      <alignment horizontal="left" vertical="center" wrapText="1"/>
    </xf>
    <xf numFmtId="164" fontId="22" fillId="9" borderId="6" xfId="0" applyNumberFormat="1" applyFont="1" applyFill="1" applyBorder="1" applyAlignment="1">
      <alignment horizontal="left" vertical="center" wrapText="1"/>
    </xf>
    <xf numFmtId="164" fontId="15" fillId="9" borderId="10" xfId="0" applyNumberFormat="1" applyFont="1" applyFill="1" applyBorder="1" applyAlignment="1">
      <alignment horizontal="left" vertical="center" wrapText="1"/>
    </xf>
    <xf numFmtId="164" fontId="22" fillId="9" borderId="29" xfId="0" applyNumberFormat="1" applyFont="1" applyFill="1" applyBorder="1" applyAlignment="1">
      <alignment horizontal="left" vertical="center" wrapText="1"/>
    </xf>
    <xf numFmtId="164" fontId="0" fillId="9" borderId="10" xfId="0" applyNumberFormat="1" applyFont="1" applyFill="1" applyBorder="1" applyAlignment="1">
      <alignment horizontal="left" vertical="center" wrapText="1"/>
    </xf>
    <xf numFmtId="164" fontId="0" fillId="9" borderId="10" xfId="0" applyFont="1" applyFill="1" applyBorder="1" applyAlignment="1">
      <alignment horizontal="center" vertical="center" wrapText="1"/>
    </xf>
    <xf numFmtId="164" fontId="0" fillId="9" borderId="3" xfId="0" applyFont="1" applyFill="1" applyBorder="1" applyAlignment="1">
      <alignment horizontal="left" vertical="center" wrapText="1"/>
    </xf>
    <xf numFmtId="164" fontId="0" fillId="9" borderId="4" xfId="0" applyFont="1" applyFill="1" applyBorder="1" applyAlignment="1">
      <alignment horizontal="left" vertical="center" wrapText="1"/>
    </xf>
    <xf numFmtId="164" fontId="0" fillId="9" borderId="5" xfId="0" applyNumberFormat="1" applyFont="1" applyFill="1" applyBorder="1" applyAlignment="1">
      <alignment horizontal="left" vertical="center" wrapText="1"/>
    </xf>
    <xf numFmtId="164" fontId="0" fillId="9" borderId="6" xfId="0" applyFont="1" applyFill="1" applyBorder="1" applyAlignment="1">
      <alignment horizontal="right" vertical="center" wrapText="1"/>
    </xf>
    <xf numFmtId="164" fontId="0" fillId="9" borderId="7" xfId="0" applyFont="1" applyFill="1" applyBorder="1" applyAlignment="1">
      <alignment horizontal="left" vertical="center" wrapText="1"/>
    </xf>
    <xf numFmtId="164" fontId="0" fillId="9" borderId="8" xfId="0" applyNumberFormat="1" applyFont="1" applyFill="1" applyBorder="1" applyAlignment="1">
      <alignment horizontal="left" vertical="center" wrapText="1"/>
    </xf>
    <xf numFmtId="164" fontId="15" fillId="9" borderId="9" xfId="0" applyNumberFormat="1" applyFont="1" applyFill="1" applyBorder="1" applyAlignment="1">
      <alignment horizontal="left" vertical="center" wrapText="1"/>
    </xf>
    <xf numFmtId="164" fontId="24" fillId="9" borderId="6" xfId="0" applyFont="1" applyFill="1" applyBorder="1" applyAlignment="1">
      <alignment horizontal="left" vertical="center" wrapText="1"/>
    </xf>
    <xf numFmtId="164" fontId="0" fillId="9" borderId="9" xfId="0" applyFont="1" applyFill="1" applyBorder="1" applyAlignment="1">
      <alignment horizontal="left" vertical="center" wrapText="1"/>
    </xf>
    <xf numFmtId="164" fontId="0" fillId="9" borderId="10" xfId="0" applyFont="1" applyFill="1" applyBorder="1" applyAlignment="1">
      <alignment horizontal="left" vertical="center" wrapText="1"/>
    </xf>
    <xf numFmtId="164" fontId="0" fillId="9" borderId="3" xfId="0" applyNumberFormat="1" applyFont="1" applyFill="1" applyBorder="1" applyAlignment="1">
      <alignment horizontal="left" vertical="center" wrapText="1"/>
    </xf>
    <xf numFmtId="164" fontId="0" fillId="9" borderId="9" xfId="0" applyNumberFormat="1" applyFont="1" applyFill="1" applyBorder="1" applyAlignment="1">
      <alignment horizontal="left" vertical="center" wrapText="1"/>
    </xf>
    <xf numFmtId="164" fontId="22" fillId="16" borderId="9" xfId="0" applyFont="1" applyFill="1" applyBorder="1" applyAlignment="1">
      <alignment horizontal="left" vertical="center" wrapText="1"/>
    </xf>
    <xf numFmtId="164" fontId="0" fillId="16" borderId="10" xfId="0" applyFont="1" applyFill="1" applyBorder="1" applyAlignment="1">
      <alignment horizontal="center" vertical="center" wrapText="1"/>
    </xf>
    <xf numFmtId="164" fontId="0" fillId="18" borderId="0" xfId="0" applyFill="1" applyAlignment="1">
      <alignment horizontal="center"/>
    </xf>
    <xf numFmtId="164" fontId="0" fillId="18" borderId="0" xfId="0" applyFill="1" applyAlignment="1">
      <alignment/>
    </xf>
    <xf numFmtId="164" fontId="20" fillId="18" borderId="0" xfId="0" applyFont="1" applyFill="1" applyAlignment="1">
      <alignment horizontal="center"/>
    </xf>
    <xf numFmtId="164" fontId="20" fillId="18" borderId="0" xfId="0" applyFont="1" applyFill="1" applyAlignment="1">
      <alignment/>
    </xf>
    <xf numFmtId="164" fontId="29" fillId="18" borderId="0" xfId="20" applyNumberFormat="1" applyFont="1" applyFill="1" applyBorder="1" applyAlignment="1" applyProtection="1">
      <alignment horizontal="center"/>
      <protection/>
    </xf>
  </cellXfs>
  <cellStyles count="238">
    <cellStyle name="Normal" xfId="0"/>
    <cellStyle name="Comma" xfId="15"/>
    <cellStyle name="Comma [0]" xfId="16"/>
    <cellStyle name="Currency" xfId="17"/>
    <cellStyle name="Currency [0]" xfId="18"/>
    <cellStyle name="Percent" xfId="19"/>
    <cellStyle name="Hyperlink" xfId="20"/>
    <cellStyle name="Accent 1 1" xfId="21"/>
    <cellStyle name="Accent 1 10" xfId="22"/>
    <cellStyle name="Accent 1 11" xfId="23"/>
    <cellStyle name="Accent 1 12" xfId="24"/>
    <cellStyle name="Accent 1 13" xfId="25"/>
    <cellStyle name="Accent 1 14" xfId="26"/>
    <cellStyle name="Accent 1 2" xfId="27"/>
    <cellStyle name="Accent 1 3" xfId="28"/>
    <cellStyle name="Accent 1 4" xfId="29"/>
    <cellStyle name="Accent 1 5" xfId="30"/>
    <cellStyle name="Accent 1 6" xfId="31"/>
    <cellStyle name="Accent 1 7" xfId="32"/>
    <cellStyle name="Accent 1 8" xfId="33"/>
    <cellStyle name="Accent 1 9" xfId="34"/>
    <cellStyle name="Accent 10" xfId="35"/>
    <cellStyle name="Accent 11" xfId="36"/>
    <cellStyle name="Accent 12" xfId="37"/>
    <cellStyle name="Accent 13" xfId="38"/>
    <cellStyle name="Accent 14" xfId="39"/>
    <cellStyle name="Accent 15" xfId="40"/>
    <cellStyle name="Accent 16" xfId="41"/>
    <cellStyle name="Accent 17" xfId="42"/>
    <cellStyle name="Accent 2 1" xfId="43"/>
    <cellStyle name="Accent 2 10" xfId="44"/>
    <cellStyle name="Accent 2 11" xfId="45"/>
    <cellStyle name="Accent 2 12" xfId="46"/>
    <cellStyle name="Accent 2 13" xfId="47"/>
    <cellStyle name="Accent 2 14" xfId="48"/>
    <cellStyle name="Accent 2 2" xfId="49"/>
    <cellStyle name="Accent 2 3" xfId="50"/>
    <cellStyle name="Accent 2 4" xfId="51"/>
    <cellStyle name="Accent 2 5" xfId="52"/>
    <cellStyle name="Accent 2 6" xfId="53"/>
    <cellStyle name="Accent 2 7" xfId="54"/>
    <cellStyle name="Accent 2 8" xfId="55"/>
    <cellStyle name="Accent 2 9" xfId="56"/>
    <cellStyle name="Accent 3 1" xfId="57"/>
    <cellStyle name="Accent 3 10" xfId="58"/>
    <cellStyle name="Accent 3 11" xfId="59"/>
    <cellStyle name="Accent 3 12" xfId="60"/>
    <cellStyle name="Accent 3 13" xfId="61"/>
    <cellStyle name="Accent 3 14" xfId="62"/>
    <cellStyle name="Accent 3 2" xfId="63"/>
    <cellStyle name="Accent 3 3" xfId="64"/>
    <cellStyle name="Accent 3 4" xfId="65"/>
    <cellStyle name="Accent 3 5" xfId="66"/>
    <cellStyle name="Accent 3 6" xfId="67"/>
    <cellStyle name="Accent 3 7" xfId="68"/>
    <cellStyle name="Accent 3 8" xfId="69"/>
    <cellStyle name="Accent 3 9" xfId="70"/>
    <cellStyle name="Accent 4" xfId="71"/>
    <cellStyle name="Accent 5" xfId="72"/>
    <cellStyle name="Accent 6" xfId="73"/>
    <cellStyle name="Accent 7" xfId="74"/>
    <cellStyle name="Accent 8" xfId="75"/>
    <cellStyle name="Accent 9" xfId="76"/>
    <cellStyle name="Bad 1" xfId="77"/>
    <cellStyle name="Bad 10" xfId="78"/>
    <cellStyle name="Bad 11" xfId="79"/>
    <cellStyle name="Bad 12" xfId="80"/>
    <cellStyle name="Bad 13" xfId="81"/>
    <cellStyle name="Bad 14" xfId="82"/>
    <cellStyle name="Bad 2" xfId="83"/>
    <cellStyle name="Bad 3" xfId="84"/>
    <cellStyle name="Bad 4" xfId="85"/>
    <cellStyle name="Bad 5" xfId="86"/>
    <cellStyle name="Bad 6" xfId="87"/>
    <cellStyle name="Bad 7" xfId="88"/>
    <cellStyle name="Bad 8" xfId="89"/>
    <cellStyle name="Bad 9" xfId="90"/>
    <cellStyle name="Error 1" xfId="91"/>
    <cellStyle name="Error 10" xfId="92"/>
    <cellStyle name="Error 11" xfId="93"/>
    <cellStyle name="Error 12" xfId="94"/>
    <cellStyle name="Error 13" xfId="95"/>
    <cellStyle name="Error 14" xfId="96"/>
    <cellStyle name="Error 2" xfId="97"/>
    <cellStyle name="Error 3" xfId="98"/>
    <cellStyle name="Error 4" xfId="99"/>
    <cellStyle name="Error 5" xfId="100"/>
    <cellStyle name="Error 6" xfId="101"/>
    <cellStyle name="Error 7" xfId="102"/>
    <cellStyle name="Error 8" xfId="103"/>
    <cellStyle name="Error 9" xfId="104"/>
    <cellStyle name="Footnote 1" xfId="105"/>
    <cellStyle name="Footnote 10" xfId="106"/>
    <cellStyle name="Footnote 11" xfId="107"/>
    <cellStyle name="Footnote 12" xfId="108"/>
    <cellStyle name="Footnote 13" xfId="109"/>
    <cellStyle name="Footnote 14" xfId="110"/>
    <cellStyle name="Footnote 2" xfId="111"/>
    <cellStyle name="Footnote 3" xfId="112"/>
    <cellStyle name="Footnote 4" xfId="113"/>
    <cellStyle name="Footnote 5" xfId="114"/>
    <cellStyle name="Footnote 6" xfId="115"/>
    <cellStyle name="Footnote 7" xfId="116"/>
    <cellStyle name="Footnote 8" xfId="117"/>
    <cellStyle name="Footnote 9" xfId="118"/>
    <cellStyle name="Good 1" xfId="119"/>
    <cellStyle name="Good 10" xfId="120"/>
    <cellStyle name="Good 11" xfId="121"/>
    <cellStyle name="Good 12" xfId="122"/>
    <cellStyle name="Good 13" xfId="123"/>
    <cellStyle name="Good 14" xfId="124"/>
    <cellStyle name="Good 2" xfId="125"/>
    <cellStyle name="Good 3" xfId="126"/>
    <cellStyle name="Good 4" xfId="127"/>
    <cellStyle name="Good 5" xfId="128"/>
    <cellStyle name="Good 6" xfId="129"/>
    <cellStyle name="Good 7" xfId="130"/>
    <cellStyle name="Good 8" xfId="131"/>
    <cellStyle name="Good 9" xfId="132"/>
    <cellStyle name="Heading 1 1" xfId="133"/>
    <cellStyle name="Heading 1 10" xfId="134"/>
    <cellStyle name="Heading 1 11" xfId="135"/>
    <cellStyle name="Heading 1 12" xfId="136"/>
    <cellStyle name="Heading 1 13" xfId="137"/>
    <cellStyle name="Heading 1 14" xfId="138"/>
    <cellStyle name="Heading 1 2" xfId="139"/>
    <cellStyle name="Heading 1 3" xfId="140"/>
    <cellStyle name="Heading 1 4" xfId="141"/>
    <cellStyle name="Heading 1 5" xfId="142"/>
    <cellStyle name="Heading 1 6" xfId="143"/>
    <cellStyle name="Heading 1 7" xfId="144"/>
    <cellStyle name="Heading 1 8" xfId="145"/>
    <cellStyle name="Heading 1 9" xfId="146"/>
    <cellStyle name="Heading 10" xfId="147"/>
    <cellStyle name="Heading 11" xfId="148"/>
    <cellStyle name="Heading 12" xfId="149"/>
    <cellStyle name="Heading 13" xfId="150"/>
    <cellStyle name="Heading 14" xfId="151"/>
    <cellStyle name="Heading 15" xfId="152"/>
    <cellStyle name="Heading 2 1" xfId="153"/>
    <cellStyle name="Heading 2 10" xfId="154"/>
    <cellStyle name="Heading 2 11" xfId="155"/>
    <cellStyle name="Heading 2 12" xfId="156"/>
    <cellStyle name="Heading 2 13" xfId="157"/>
    <cellStyle name="Heading 2 14" xfId="158"/>
    <cellStyle name="Heading 2 2" xfId="159"/>
    <cellStyle name="Heading 2 3" xfId="160"/>
    <cellStyle name="Heading 2 4" xfId="161"/>
    <cellStyle name="Heading 2 5" xfId="162"/>
    <cellStyle name="Heading 2 6" xfId="163"/>
    <cellStyle name="Heading 2 7" xfId="164"/>
    <cellStyle name="Heading 2 8" xfId="165"/>
    <cellStyle name="Heading 2 9" xfId="166"/>
    <cellStyle name="Heading 3" xfId="167"/>
    <cellStyle name="Heading 4" xfId="168"/>
    <cellStyle name="Heading 5" xfId="169"/>
    <cellStyle name="Heading 6" xfId="170"/>
    <cellStyle name="Heading 7" xfId="171"/>
    <cellStyle name="Heading 8" xfId="172"/>
    <cellStyle name="Heading 9" xfId="173"/>
    <cellStyle name="Hyperlink 1" xfId="174"/>
    <cellStyle name="Hyperlink 2" xfId="175"/>
    <cellStyle name="Hyperlink 3" xfId="176"/>
    <cellStyle name="Hyperlink 4" xfId="177"/>
    <cellStyle name="Hyperlink 5" xfId="178"/>
    <cellStyle name="Hyperlink 6" xfId="179"/>
    <cellStyle name="Hyperlink 7" xfId="180"/>
    <cellStyle name="Hyperlink 8" xfId="181"/>
    <cellStyle name="Neutral 1" xfId="182"/>
    <cellStyle name="Neutral 10" xfId="183"/>
    <cellStyle name="Neutral 11" xfId="184"/>
    <cellStyle name="Neutral 12" xfId="185"/>
    <cellStyle name="Neutral 13" xfId="186"/>
    <cellStyle name="Neutral 14" xfId="187"/>
    <cellStyle name="Neutral 2" xfId="188"/>
    <cellStyle name="Neutral 3" xfId="189"/>
    <cellStyle name="Neutral 4" xfId="190"/>
    <cellStyle name="Neutral 5" xfId="191"/>
    <cellStyle name="Neutral 6" xfId="192"/>
    <cellStyle name="Neutral 7" xfId="193"/>
    <cellStyle name="Neutral 8" xfId="194"/>
    <cellStyle name="Neutral 9" xfId="195"/>
    <cellStyle name="Note 1" xfId="196"/>
    <cellStyle name="Note 10" xfId="197"/>
    <cellStyle name="Note 11" xfId="198"/>
    <cellStyle name="Note 12" xfId="199"/>
    <cellStyle name="Note 13" xfId="200"/>
    <cellStyle name="Note 14" xfId="201"/>
    <cellStyle name="Note 2" xfId="202"/>
    <cellStyle name="Note 3" xfId="203"/>
    <cellStyle name="Note 4" xfId="204"/>
    <cellStyle name="Note 5" xfId="205"/>
    <cellStyle name="Note 6" xfId="206"/>
    <cellStyle name="Note 7" xfId="207"/>
    <cellStyle name="Note 8" xfId="208"/>
    <cellStyle name="Note 9" xfId="209"/>
    <cellStyle name="Status 1" xfId="210"/>
    <cellStyle name="Status 10" xfId="211"/>
    <cellStyle name="Status 11" xfId="212"/>
    <cellStyle name="Status 12" xfId="213"/>
    <cellStyle name="Status 13" xfId="214"/>
    <cellStyle name="Status 14" xfId="215"/>
    <cellStyle name="Status 2" xfId="216"/>
    <cellStyle name="Status 3" xfId="217"/>
    <cellStyle name="Status 4" xfId="218"/>
    <cellStyle name="Status 5" xfId="219"/>
    <cellStyle name="Status 6" xfId="220"/>
    <cellStyle name="Status 7" xfId="221"/>
    <cellStyle name="Status 8" xfId="222"/>
    <cellStyle name="Status 9" xfId="223"/>
    <cellStyle name="Text 1" xfId="224"/>
    <cellStyle name="Text 10" xfId="225"/>
    <cellStyle name="Text 11" xfId="226"/>
    <cellStyle name="Text 12" xfId="227"/>
    <cellStyle name="Text 13" xfId="228"/>
    <cellStyle name="Text 14" xfId="229"/>
    <cellStyle name="Text 2" xfId="230"/>
    <cellStyle name="Text 3" xfId="231"/>
    <cellStyle name="Text 4" xfId="232"/>
    <cellStyle name="Text 5" xfId="233"/>
    <cellStyle name="Text 6" xfId="234"/>
    <cellStyle name="Text 7" xfId="235"/>
    <cellStyle name="Text 8" xfId="236"/>
    <cellStyle name="Text 9" xfId="237"/>
    <cellStyle name="Warning 1" xfId="238"/>
    <cellStyle name="Warning 10" xfId="239"/>
    <cellStyle name="Warning 11" xfId="240"/>
    <cellStyle name="Warning 12" xfId="241"/>
    <cellStyle name="Warning 13" xfId="242"/>
    <cellStyle name="Warning 14" xfId="243"/>
    <cellStyle name="Warning 2" xfId="244"/>
    <cellStyle name="Warning 3" xfId="245"/>
    <cellStyle name="Warning 4" xfId="246"/>
    <cellStyle name="Warning 5" xfId="247"/>
    <cellStyle name="Warning 6" xfId="248"/>
    <cellStyle name="Warning 7" xfId="249"/>
    <cellStyle name="Warning 8" xfId="250"/>
    <cellStyle name="Warning 9" xfId="251"/>
  </cellStyles>
  <colors>
    <indexedColors>
      <rgbColor rgb="00000000"/>
      <rgbColor rgb="00FFFFFF"/>
      <rgbColor rgb="00FF0000"/>
      <rgbColor rgb="0000FF00"/>
      <rgbColor rgb="000000FF"/>
      <rgbColor rgb="00FFFF00"/>
      <rgbColor rgb="00FF00FF"/>
      <rgbColor rgb="0000FFFF"/>
      <rgbColor rgb="00000000"/>
      <rgbColor rgb="00FFFFFF"/>
      <rgbColor rgb="00CC0000"/>
      <rgbColor rgb="0047FF47"/>
      <rgbColor rgb="000000FF"/>
      <rgbColor rgb="00FFFF38"/>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EEEEEE"/>
      <rgbColor rgb="00660066"/>
      <rgbColor rgb="00FF8080"/>
      <rgbColor rgb="000066CC"/>
      <rgbColor rgb="00DDDDDD"/>
      <rgbColor rgb="00000080"/>
      <rgbColor rgb="00FF00FF"/>
      <rgbColor rgb="00FFFF6D"/>
      <rgbColor rgb="0000FFFF"/>
      <rgbColor rgb="00800080"/>
      <rgbColor rgb="00800000"/>
      <rgbColor rgb="00008080"/>
      <rgbColor rgb="000000EE"/>
      <rgbColor rgb="0000CCFF"/>
      <rgbColor rgb="00E6E6E6"/>
      <rgbColor rgb="00CCFFCC"/>
      <rgbColor rgb="00FFFFA6"/>
      <rgbColor rgb="0099CCFF"/>
      <rgbColor rgb="00FF99CC"/>
      <rgbColor rgb="00CC99FF"/>
      <rgbColor rgb="00FFCCCC"/>
      <rgbColor rgb="003366FF"/>
      <rgbColor rgb="0033CCCC"/>
      <rgbColor rgb="0099CC00"/>
      <rgbColor rgb="00FFDE59"/>
      <rgbColor rgb="00FF9900"/>
      <rgbColor rgb="00FF3366"/>
      <rgbColor rgb="00666699"/>
      <rgbColor rgb="00999999"/>
      <rgbColor rgb="00003366"/>
      <rgbColor rgb="00339966"/>
      <rgbColor rgb="00003300"/>
      <rgbColor rgb="004C19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Connect2Car@CES" TargetMode="External" /><Relationship Id="rId2" Type="http://schemas.openxmlformats.org/officeDocument/2006/relationships/hyperlink" Target="mailto:RGillum@nas.edu" TargetMode="External" /><Relationship Id="rId3" Type="http://schemas.openxmlformats.org/officeDocument/2006/relationships/comments" Target="../comments2.xml" /><Relationship Id="rId4"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levicar.com/%00%00%00%00%00%00%00%00%00%00%00%00%00%00%00#Upcoming%00%00%00%00%00%00%00%00%00%00%00%00%00%00%00" TargetMode="External" /><Relationship Id="rId2" Type="http://schemas.openxmlformats.org/officeDocument/2006/relationships/hyperlink" Target="http://www.levicar.com/PROACCTIVE.php%00%00%00%00%00%00%00%00%00%00%00%00%00%00%00#Group-U%00%00%00%00%00%00%00%00%00%00%00%00%00%00%00" TargetMode="External" /><Relationship Id="rId3" Type="http://schemas.openxmlformats.org/officeDocument/2006/relationships/hyperlink" Target="http://www.LeviCar.com/LULUE.php" TargetMode="External" /></Relationships>
</file>

<file path=xl/worksheets/sheet1.xml><?xml version="1.0" encoding="utf-8"?>
<worksheet xmlns="http://schemas.openxmlformats.org/spreadsheetml/2006/main" xmlns:r="http://schemas.openxmlformats.org/officeDocument/2006/relationships">
  <dimension ref="A1:F24"/>
  <sheetViews>
    <sheetView zoomScale="95" zoomScaleNormal="95" workbookViewId="0" topLeftCell="A1">
      <selection activeCell="A3" sqref="A3"/>
    </sheetView>
  </sheetViews>
  <sheetFormatPr defaultColWidth="9.140625" defaultRowHeight="15.75" customHeight="1"/>
  <cols>
    <col min="1" max="1" width="20.421875" style="1" customWidth="1"/>
    <col min="2" max="2" width="2.421875" style="2" customWidth="1"/>
    <col min="3" max="3" width="12.421875" style="3" customWidth="1"/>
    <col min="4" max="4" width="11.421875" style="1" customWidth="1"/>
    <col min="5" max="5" width="10.421875" style="1" customWidth="1"/>
    <col min="6" max="6" width="15.421875" style="1" customWidth="1"/>
    <col min="7" max="58" width="10.421875" style="1" customWidth="1"/>
    <col min="59" max="16384" width="10.421875" style="0" customWidth="1"/>
  </cols>
  <sheetData>
    <row r="1" spans="1:6" ht="12.75" customHeight="1">
      <c r="A1" s="4" t="s">
        <v>0</v>
      </c>
      <c r="B1" s="5"/>
      <c r="C1" s="4"/>
      <c r="D1" s="6"/>
      <c r="E1" s="6"/>
      <c r="F1" s="7"/>
    </row>
    <row r="2" spans="1:6" ht="15.75" customHeight="1">
      <c r="A2" s="8">
        <f>"2020/12/23"</f>
        <v>0</v>
      </c>
      <c r="B2" s="5"/>
      <c r="C2" s="9" t="s">
        <v>1</v>
      </c>
      <c r="D2" s="10">
        <f>"238, 238, 238"</f>
        <v>0</v>
      </c>
      <c r="E2" s="4">
        <f>"EEEEEE"</f>
        <v>0</v>
      </c>
      <c r="F2" s="11" t="s">
        <v>2</v>
      </c>
    </row>
    <row r="3" spans="1:6" ht="15.75" customHeight="1">
      <c r="A3" s="12">
        <f>"07:41"</f>
        <v>0</v>
      </c>
      <c r="B3" s="5"/>
      <c r="C3" s="13" t="s">
        <v>3</v>
      </c>
      <c r="D3" s="10">
        <f>"204, 204, 204"</f>
        <v>0</v>
      </c>
      <c r="E3" s="4">
        <f>"CCCCCC"</f>
        <v>0</v>
      </c>
      <c r="F3" s="14" t="s">
        <v>4</v>
      </c>
    </row>
    <row r="4" spans="1:6" ht="15.75" customHeight="1">
      <c r="A4" s="15"/>
      <c r="B4" s="5"/>
      <c r="C4" s="16" t="s">
        <v>5</v>
      </c>
      <c r="D4" s="10">
        <f>"255, 255, 166"</f>
        <v>0</v>
      </c>
      <c r="E4" s="4">
        <f>"FFFFA6"</f>
        <v>0</v>
      </c>
      <c r="F4" s="17" t="s">
        <v>6</v>
      </c>
    </row>
    <row r="5" spans="1:6" ht="15.75" customHeight="1">
      <c r="A5" s="4" t="s">
        <v>7</v>
      </c>
      <c r="B5" s="5"/>
      <c r="C5" s="18" t="s">
        <v>8</v>
      </c>
      <c r="D5" s="10">
        <f>"255, 255, 109"</f>
        <v>0</v>
      </c>
      <c r="E5" s="4">
        <f>"FFFF6D"</f>
        <v>0</v>
      </c>
      <c r="F5" s="19" t="s">
        <v>9</v>
      </c>
    </row>
    <row r="6" spans="1:6" ht="15.75" customHeight="1">
      <c r="A6" s="4" t="s">
        <v>10</v>
      </c>
      <c r="B6" s="5"/>
      <c r="C6" s="20" t="s">
        <v>11</v>
      </c>
      <c r="D6" s="10" t="s">
        <v>12</v>
      </c>
      <c r="E6" s="4" t="s">
        <v>13</v>
      </c>
      <c r="F6" s="21" t="s">
        <v>14</v>
      </c>
    </row>
    <row r="7" spans="1:6" ht="15.75" customHeight="1">
      <c r="A7" s="6"/>
      <c r="B7" s="5"/>
      <c r="C7" s="22" t="s">
        <v>15</v>
      </c>
      <c r="D7" s="10" t="s">
        <v>16</v>
      </c>
      <c r="E7" s="4" t="s">
        <v>17</v>
      </c>
      <c r="F7" s="23" t="s">
        <v>18</v>
      </c>
    </row>
    <row r="8" spans="1:6" ht="15.75" customHeight="1">
      <c r="A8" s="24"/>
      <c r="B8" s="5"/>
      <c r="C8" s="25" t="s">
        <v>19</v>
      </c>
      <c r="D8" s="10">
        <f>"255, 51, 102"</f>
        <v>0</v>
      </c>
      <c r="E8" s="4">
        <f>"FF3366"</f>
        <v>0</v>
      </c>
      <c r="F8" s="7" t="s">
        <v>20</v>
      </c>
    </row>
    <row r="9" spans="1:6" ht="15.75" customHeight="1">
      <c r="A9"/>
      <c r="B9" s="5"/>
      <c r="C9" s="26" t="s">
        <v>21</v>
      </c>
      <c r="D9" s="10" t="s">
        <v>22</v>
      </c>
      <c r="E9" s="4" t="s">
        <v>23</v>
      </c>
      <c r="F9" s="7" t="s">
        <v>20</v>
      </c>
    </row>
    <row r="10" spans="1:2" ht="15.75" customHeight="1">
      <c r="A10"/>
      <c r="B10" s="5"/>
    </row>
    <row r="11" spans="1:3" ht="15.75" customHeight="1">
      <c r="A11"/>
      <c r="C11" s="1"/>
    </row>
    <row r="12" spans="1:3" ht="15.75" customHeight="1">
      <c r="A12"/>
      <c r="B12" s="27"/>
      <c r="C12" s="2"/>
    </row>
    <row r="13" spans="1:3" ht="15.75" customHeight="1">
      <c r="A13"/>
      <c r="C13" s="1"/>
    </row>
    <row r="14" spans="1:3" ht="15.75" customHeight="1">
      <c r="A14"/>
      <c r="C14" s="1"/>
    </row>
    <row r="15" spans="1:3" ht="15.75" customHeight="1">
      <c r="A15"/>
      <c r="C15" s="1"/>
    </row>
    <row r="16" spans="1:3" ht="15.75" customHeight="1">
      <c r="A16"/>
      <c r="B16" s="27"/>
      <c r="C16" s="3" t="s">
        <v>24</v>
      </c>
    </row>
    <row r="17" ht="15.75" customHeight="1">
      <c r="A17"/>
    </row>
    <row r="18" ht="15.75" customHeight="1">
      <c r="A18"/>
    </row>
    <row r="19" ht="15.75" customHeight="1">
      <c r="A19"/>
    </row>
    <row r="20" ht="15.75" customHeight="1">
      <c r="A20"/>
    </row>
    <row r="21" ht="15.75" customHeight="1">
      <c r="A21"/>
    </row>
    <row r="22" ht="15.75" customHeight="1">
      <c r="A22"/>
    </row>
    <row r="23" ht="15.75" customHeight="1">
      <c r="A23"/>
    </row>
    <row r="24" ht="15.75" customHeight="1">
      <c r="A24"/>
    </row>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dimension ref="A1:BL669"/>
  <sheetViews>
    <sheetView tabSelected="1" zoomScale="95" zoomScaleNormal="9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75" customHeight="1"/>
  <cols>
    <col min="1" max="1" width="23.421875" style="28" customWidth="1"/>
    <col min="2" max="2" width="11.421875" style="29" customWidth="1"/>
    <col min="3" max="3" width="21.421875" style="30" customWidth="1"/>
    <col min="4" max="4" width="11.421875" style="31" customWidth="1"/>
    <col min="5" max="5" width="10.421875" style="32" customWidth="1"/>
    <col min="6" max="6" width="12.421875" style="31" customWidth="1"/>
    <col min="7" max="7" width="34.421875" style="33" customWidth="1"/>
    <col min="8" max="8" width="33.421875" style="34" customWidth="1"/>
    <col min="9" max="9" width="12.421875" style="35" customWidth="1"/>
    <col min="10" max="10" width="14.421875" style="36" customWidth="1"/>
    <col min="11" max="11" width="23.421875" style="37" customWidth="1"/>
    <col min="12" max="12" width="37.421875" style="38" customWidth="1"/>
    <col min="13" max="13" width="21.421875" style="39" customWidth="1"/>
    <col min="14" max="14" width="19.421875" style="40" customWidth="1"/>
    <col min="15" max="15" width="13.421875" style="41" customWidth="1"/>
    <col min="16" max="16" width="15.421875" style="42" customWidth="1"/>
    <col min="17" max="17" width="6.421875" style="43" customWidth="1"/>
    <col min="18" max="18" width="11.57421875" style="44" customWidth="1"/>
    <col min="19" max="19" width="7.421875" style="45" customWidth="1"/>
    <col min="20" max="16384" width="7.421875" style="0" customWidth="1"/>
  </cols>
  <sheetData>
    <row r="1" spans="1:18" ht="12.75" customHeight="1">
      <c r="A1" s="46"/>
      <c r="B1" s="47"/>
      <c r="C1" s="48"/>
      <c r="D1" s="24"/>
      <c r="E1" s="49" t="s">
        <v>25</v>
      </c>
      <c r="F1" s="49"/>
      <c r="G1" s="49"/>
      <c r="H1" s="50"/>
      <c r="I1" s="51" t="s">
        <v>26</v>
      </c>
      <c r="J1" s="51"/>
      <c r="K1" s="51"/>
      <c r="L1" s="52" t="s">
        <v>27</v>
      </c>
      <c r="M1" s="52"/>
      <c r="N1" s="53" t="s">
        <v>28</v>
      </c>
      <c r="O1" s="54" t="s">
        <v>29</v>
      </c>
      <c r="P1" s="54"/>
      <c r="Q1" s="54"/>
      <c r="R1" s="55" t="s">
        <v>30</v>
      </c>
    </row>
    <row r="2" spans="1:18" ht="12.75" customHeight="1">
      <c r="A2" s="56" t="s">
        <v>31</v>
      </c>
      <c r="B2" s="56" t="s">
        <v>32</v>
      </c>
      <c r="C2" s="56" t="s">
        <v>33</v>
      </c>
      <c r="D2" s="57" t="s">
        <v>34</v>
      </c>
      <c r="E2" s="58" t="s">
        <v>35</v>
      </c>
      <c r="F2" s="57" t="s">
        <v>36</v>
      </c>
      <c r="G2" s="59" t="s">
        <v>37</v>
      </c>
      <c r="H2" s="60" t="s">
        <v>38</v>
      </c>
      <c r="I2" s="61" t="s">
        <v>31</v>
      </c>
      <c r="J2" s="62" t="s">
        <v>39</v>
      </c>
      <c r="K2" s="63" t="s">
        <v>40</v>
      </c>
      <c r="L2" s="64" t="s">
        <v>41</v>
      </c>
      <c r="M2" s="65" t="s">
        <v>42</v>
      </c>
      <c r="N2" s="53"/>
      <c r="O2" s="66" t="s">
        <v>43</v>
      </c>
      <c r="P2" s="67" t="s">
        <v>44</v>
      </c>
      <c r="Q2" s="68" t="s">
        <v>45</v>
      </c>
      <c r="R2" s="55"/>
    </row>
    <row r="3" spans="1:64" s="86" customFormat="1" ht="45" customHeight="1">
      <c r="A3" s="69" t="s">
        <v>46</v>
      </c>
      <c r="B3" s="70" t="s">
        <v>47</v>
      </c>
      <c r="C3" s="71">
        <f>"https://automotive.knect365.com/tu-auto-cts/"</f>
        <v>0</v>
      </c>
      <c r="D3" s="72" t="s">
        <v>48</v>
      </c>
      <c r="E3" s="73" t="s">
        <v>49</v>
      </c>
      <c r="F3" s="72" t="s">
        <v>50</v>
      </c>
      <c r="G3" s="74" t="s">
        <v>51</v>
      </c>
      <c r="H3" s="75" t="s">
        <v>52</v>
      </c>
      <c r="I3" s="76"/>
      <c r="J3" s="77"/>
      <c r="K3" s="78"/>
      <c r="L3" s="79">
        <f>"Order the Brochure:  https://tr.informabi.com/consumer-telematics-show-brochure?code=homepage"</f>
        <v>0</v>
      </c>
      <c r="M3" s="80"/>
      <c r="N3" s="81"/>
      <c r="O3" s="82" t="s">
        <v>53</v>
      </c>
      <c r="P3" s="72">
        <f>"https://automotive.knect365.com/"</f>
        <v>0</v>
      </c>
      <c r="Q3" s="83" t="s">
        <v>54</v>
      </c>
      <c r="R3" s="84" t="s">
        <v>55</v>
      </c>
      <c r="S3" s="85"/>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row>
    <row r="4" spans="1:64" s="86" customFormat="1" ht="18.75" customHeight="1">
      <c r="A4" s="87" t="s">
        <v>56</v>
      </c>
      <c r="B4" s="88" t="s">
        <v>57</v>
      </c>
      <c r="C4" s="89">
        <f>"https://teslasciencecenter.org/events/tower-to-the-people-movie-night/"</f>
        <v>0</v>
      </c>
      <c r="D4" s="90" t="s">
        <v>58</v>
      </c>
      <c r="E4" s="91" t="s">
        <v>59</v>
      </c>
      <c r="F4" s="90" t="s">
        <v>60</v>
      </c>
      <c r="G4" s="92" t="s">
        <v>61</v>
      </c>
      <c r="H4" s="93"/>
      <c r="I4" s="94" t="s">
        <v>62</v>
      </c>
      <c r="J4" s="94"/>
      <c r="K4" s="95" t="s">
        <v>63</v>
      </c>
      <c r="L4" s="96">
        <f>"Membership Information:  http://www.teslasciencecenter.org/become-a-member/"</f>
        <v>0</v>
      </c>
      <c r="M4" s="97" t="s">
        <v>64</v>
      </c>
      <c r="N4" s="98" t="s">
        <v>65</v>
      </c>
      <c r="O4" s="99" t="s">
        <v>66</v>
      </c>
      <c r="P4" s="90">
        <f>"https://teslasciencecenter.org/"</f>
        <v>0</v>
      </c>
      <c r="Q4" s="100" t="s">
        <v>67</v>
      </c>
      <c r="R4" s="101" t="s">
        <v>68</v>
      </c>
      <c r="S4" s="85"/>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row>
    <row r="5" spans="1:64" s="86" customFormat="1" ht="18.75" customHeight="1">
      <c r="A5" s="87"/>
      <c r="B5" s="88"/>
      <c r="C5" s="89"/>
      <c r="D5" s="90"/>
      <c r="E5" s="91"/>
      <c r="F5" s="90"/>
      <c r="G5" s="92"/>
      <c r="H5" s="93"/>
      <c r="I5" s="94" t="s">
        <v>69</v>
      </c>
      <c r="J5" s="94"/>
      <c r="K5" s="95"/>
      <c r="L5" s="96"/>
      <c r="M5" s="97" t="s">
        <v>70</v>
      </c>
      <c r="N5" s="98" t="s">
        <v>71</v>
      </c>
      <c r="O5" s="99"/>
      <c r="P5" s="90"/>
      <c r="Q5" s="100"/>
      <c r="R5" s="101"/>
      <c r="S5" s="85"/>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row>
    <row r="6" spans="1:64" s="86" customFormat="1" ht="18.75" customHeight="1">
      <c r="A6" s="87"/>
      <c r="B6" s="88"/>
      <c r="C6" s="89"/>
      <c r="D6" s="90"/>
      <c r="E6" s="91"/>
      <c r="F6" s="90"/>
      <c r="G6" s="92"/>
      <c r="H6" s="93"/>
      <c r="I6" s="94"/>
      <c r="J6" s="94"/>
      <c r="K6" s="95" t="s">
        <v>72</v>
      </c>
      <c r="L6" s="96"/>
      <c r="M6" s="97" t="s">
        <v>73</v>
      </c>
      <c r="N6" s="98" t="s">
        <v>74</v>
      </c>
      <c r="O6" s="99"/>
      <c r="P6" s="90"/>
      <c r="Q6" s="100"/>
      <c r="R6" s="101"/>
      <c r="S6" s="85"/>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row>
    <row r="7" spans="1:64" s="86" customFormat="1" ht="22.5" customHeight="1">
      <c r="A7" s="87"/>
      <c r="B7" s="88"/>
      <c r="C7" s="89"/>
      <c r="D7" s="90"/>
      <c r="E7" s="91"/>
      <c r="F7" s="90"/>
      <c r="G7" s="92"/>
      <c r="H7" s="93"/>
      <c r="I7" s="94" t="s">
        <v>75</v>
      </c>
      <c r="J7" s="94"/>
      <c r="K7" s="95"/>
      <c r="L7" s="96"/>
      <c r="M7" s="97" t="s">
        <v>76</v>
      </c>
      <c r="N7" s="98" t="s">
        <v>77</v>
      </c>
      <c r="O7" s="99"/>
      <c r="P7" s="90"/>
      <c r="Q7" s="100"/>
      <c r="R7" s="101"/>
      <c r="S7" s="85"/>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row>
    <row r="8" spans="1:64" s="86" customFormat="1" ht="42" customHeight="1">
      <c r="A8" s="102" t="s">
        <v>78</v>
      </c>
      <c r="B8" s="88" t="s">
        <v>79</v>
      </c>
      <c r="C8" s="103">
        <f>"https://www.ces.tech/About-CES.aspx"</f>
        <v>0</v>
      </c>
      <c r="D8" s="90" t="s">
        <v>48</v>
      </c>
      <c r="E8" s="91" t="s">
        <v>80</v>
      </c>
      <c r="F8" s="90" t="s">
        <v>81</v>
      </c>
      <c r="G8" s="104" t="s">
        <v>82</v>
      </c>
      <c r="H8" s="105">
        <f>"CES / SAE Main Site:  https://saemobilus.sae.org/automated-connected/event/ces-2020"</f>
        <v>0</v>
      </c>
      <c r="I8" s="106"/>
      <c r="J8" s="107"/>
      <c r="K8" s="108"/>
      <c r="L8" s="109"/>
      <c r="M8" s="110"/>
      <c r="N8" s="111"/>
      <c r="O8" s="99" t="s">
        <v>83</v>
      </c>
      <c r="P8" s="90" t="s">
        <v>84</v>
      </c>
      <c r="Q8" s="100" t="s">
        <v>85</v>
      </c>
      <c r="R8" s="101" t="s">
        <v>86</v>
      </c>
      <c r="S8" s="85"/>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row>
    <row r="9" spans="1:64" s="86" customFormat="1" ht="55.5" customHeight="1">
      <c r="A9" s="87" t="s">
        <v>87</v>
      </c>
      <c r="B9" s="88" t="s">
        <v>88</v>
      </c>
      <c r="C9" s="103">
        <f>"https://www.sae.org/attend/connect2car-ces"</f>
        <v>0</v>
      </c>
      <c r="D9" s="90"/>
      <c r="E9" s="91" t="s">
        <v>89</v>
      </c>
      <c r="F9" s="90" t="s">
        <v>90</v>
      </c>
      <c r="G9" s="104" t="s">
        <v>91</v>
      </c>
      <c r="H9" s="105"/>
      <c r="I9" s="106"/>
      <c r="J9" s="107"/>
      <c r="K9" s="108">
        <f>"Contact &amp; FAQ:  https://saemobilus.sae.org/automated-connected/contact-us/"</f>
        <v>0</v>
      </c>
      <c r="L9" s="109"/>
      <c r="M9" s="110"/>
      <c r="N9" s="111"/>
      <c r="O9" s="99"/>
      <c r="P9" s="90"/>
      <c r="Q9" s="100"/>
      <c r="R9" s="101"/>
      <c r="S9" s="85"/>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row>
    <row r="10" spans="1:64" ht="55.5" customHeight="1">
      <c r="A10" s="112" t="s">
        <v>92</v>
      </c>
      <c r="B10" s="113" t="s">
        <v>93</v>
      </c>
      <c r="C10" s="114"/>
      <c r="D10" s="115"/>
      <c r="E10" s="116" t="s">
        <v>94</v>
      </c>
      <c r="F10" s="115"/>
      <c r="G10" s="117"/>
      <c r="H10" s="118"/>
      <c r="I10" s="119"/>
      <c r="J10" s="120"/>
      <c r="K10" s="121"/>
      <c r="L10" s="122"/>
      <c r="M10" s="123"/>
      <c r="N10" s="124"/>
      <c r="O10" s="125"/>
      <c r="P10" s="115"/>
      <c r="Q10" s="126"/>
      <c r="R10" s="127"/>
      <c r="S10" s="85"/>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row>
    <row r="11" spans="1:64" s="86" customFormat="1" ht="90" customHeight="1">
      <c r="A11" s="87" t="s">
        <v>95</v>
      </c>
      <c r="B11" s="88" t="s">
        <v>96</v>
      </c>
      <c r="C11" s="103">
        <f>"https://register.gotowebinar.com/register/6285256368568169731"</f>
        <v>0</v>
      </c>
      <c r="D11" s="90"/>
      <c r="E11" s="91" t="s">
        <v>97</v>
      </c>
      <c r="F11" s="90" t="s">
        <v>98</v>
      </c>
      <c r="G11" s="104" t="s">
        <v>99</v>
      </c>
      <c r="H11" s="105" t="s">
        <v>100</v>
      </c>
      <c r="I11" s="106" t="s">
        <v>101</v>
      </c>
      <c r="J11" s="107"/>
      <c r="K11" s="108" t="s">
        <v>102</v>
      </c>
      <c r="L11" s="109"/>
      <c r="M11" s="110"/>
      <c r="N11" s="111"/>
      <c r="O11" s="99" t="s">
        <v>103</v>
      </c>
      <c r="P11" s="90" t="s">
        <v>104</v>
      </c>
      <c r="Q11" s="100" t="s">
        <v>54</v>
      </c>
      <c r="R11" s="128" t="s">
        <v>55</v>
      </c>
      <c r="S11" s="85"/>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s="86" customFormat="1" ht="26.25" customHeight="1">
      <c r="A12" s="129">
        <f>"Advanced Automotive Battery Conference &amp;ndash; Europe"</f>
        <v>0</v>
      </c>
      <c r="B12" s="130" t="s">
        <v>105</v>
      </c>
      <c r="C12" s="130">
        <f>"https://www.advancedautobat.com/europe/"</f>
        <v>0</v>
      </c>
      <c r="D12" s="90" t="s">
        <v>106</v>
      </c>
      <c r="E12" s="91" t="s">
        <v>107</v>
      </c>
      <c r="F12" s="130">
        <f>"aabc-wh-E.png    237 x 115"</f>
        <v>0</v>
      </c>
      <c r="G12" s="131">
        <f>"&amp;hellip research and development of the chemistries and materials supporting the next generation of electric vehicle batteries &amp;hellip;"</f>
        <v>0</v>
      </c>
      <c r="H12" s="132"/>
      <c r="I12" s="106"/>
      <c r="J12" s="133">
        <f>"vox: (781) 972-5400"</f>
        <v>0</v>
      </c>
      <c r="K12" s="134">
        <f>"mailto:ce@cambridgeenertech.com"</f>
        <v>0</v>
      </c>
      <c r="L12" s="109">
        <f>"Sponsorship &amp; Exhibit Opportunities:  https://www.advancedautobat.com/europe-site/sponsor-exhibit"</f>
        <v>0</v>
      </c>
      <c r="M12" s="110">
        <f>"Speaker proposal:  https://www.advancedautobat.com/europe/speaker-proposal"</f>
        <v>0</v>
      </c>
      <c r="N12" s="111" t="s">
        <v>108</v>
      </c>
      <c r="O12" s="99" t="s">
        <v>109</v>
      </c>
      <c r="P12" s="90" t="s">
        <v>110</v>
      </c>
      <c r="Q12" s="100" t="s">
        <v>54</v>
      </c>
      <c r="R12" s="101" t="s">
        <v>55</v>
      </c>
      <c r="S12" s="85"/>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row>
    <row r="13" spans="1:64" s="86" customFormat="1" ht="27.75" customHeight="1">
      <c r="A13" s="129"/>
      <c r="B13" s="130"/>
      <c r="C13" s="130"/>
      <c r="D13" s="90"/>
      <c r="E13" s="90"/>
      <c r="F13" s="130"/>
      <c r="G13" s="131"/>
      <c r="H13" s="132"/>
      <c r="I13" s="106"/>
      <c r="J13" s="133">
        <f>"fax: (781) 972-5425"</f>
        <v>0</v>
      </c>
      <c r="K13" s="134"/>
      <c r="L13" s="109"/>
      <c r="M13" s="110"/>
      <c r="N13" s="111"/>
      <c r="O13" s="99"/>
      <c r="P13" s="90"/>
      <c r="Q13" s="100"/>
      <c r="R13" s="101"/>
      <c r="S13" s="85"/>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1:64" s="86" customFormat="1" ht="38.25" customHeight="1">
      <c r="A14" s="129"/>
      <c r="B14" s="130"/>
      <c r="C14" s="130"/>
      <c r="D14" s="90"/>
      <c r="E14" s="90"/>
      <c r="F14" s="130"/>
      <c r="G14" s="131"/>
      <c r="H14" s="132"/>
      <c r="I14" s="135">
        <f>"Apply to receive brochure and e-mails:  https://www.advancedautobat.com/europe/download/2020-brochure-download-form"</f>
        <v>0</v>
      </c>
      <c r="J14" s="135"/>
      <c r="K14" s="135"/>
      <c r="L14" s="109" t="s">
        <v>111</v>
      </c>
      <c r="M14" s="110"/>
      <c r="N14" s="111" t="s">
        <v>112</v>
      </c>
      <c r="O14" s="99"/>
      <c r="P14" s="90"/>
      <c r="Q14" s="100"/>
      <c r="R14" s="101"/>
      <c r="S14" s="85"/>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1:64" s="86" customFormat="1" ht="42.75" customHeight="1">
      <c r="A15" s="129"/>
      <c r="B15" s="130"/>
      <c r="C15" s="130"/>
      <c r="D15" s="130"/>
      <c r="E15" s="91"/>
      <c r="F15" s="91"/>
      <c r="G15" s="131"/>
      <c r="H15" s="132"/>
      <c r="I15" s="135">
        <f>"Problems?  contact David Cunningham"</f>
        <v>0</v>
      </c>
      <c r="J15" s="133">
        <f>"781-972-5472"</f>
        <v>0</v>
      </c>
      <c r="K15" s="108">
        <f>"cunningham@cambridgeinnovationinstitute.com"</f>
        <v>0</v>
      </c>
      <c r="L15" s="109"/>
      <c r="M15" s="110"/>
      <c r="N15" s="111"/>
      <c r="O15" s="99"/>
      <c r="P15" s="90"/>
      <c r="Q15" s="100"/>
      <c r="R15" s="101"/>
      <c r="S15" s="85"/>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1:64" s="86" customFormat="1" ht="58.5" customHeight="1">
      <c r="A16" s="102" t="s">
        <v>113</v>
      </c>
      <c r="B16" s="90" t="s">
        <v>114</v>
      </c>
      <c r="C16" s="90">
        <f>"https://www.advancedautobat.com/aabc-europe/recycling"</f>
        <v>0</v>
      </c>
      <c r="D16" s="90"/>
      <c r="E16" s="91" t="s">
        <v>115</v>
      </c>
      <c r="F16" s="90" t="s">
        <v>116</v>
      </c>
      <c r="G16" s="136" t="s">
        <v>117</v>
      </c>
      <c r="H16" s="132"/>
      <c r="I16" s="135" t="s">
        <v>118</v>
      </c>
      <c r="J16" s="133" t="s">
        <v>119</v>
      </c>
      <c r="K16" s="108">
        <f>"mailto:cwohlers@cambridgeenertech.com"</f>
        <v>0</v>
      </c>
      <c r="L16" s="109"/>
      <c r="M16" s="110"/>
      <c r="N16" s="111"/>
      <c r="O16" s="99"/>
      <c r="P16" s="90"/>
      <c r="Q16" s="100"/>
      <c r="R16" s="101"/>
      <c r="S16" s="85"/>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1:64" s="86" customFormat="1" ht="44.25" customHeight="1">
      <c r="A17" s="102" t="s">
        <v>120</v>
      </c>
      <c r="B17" s="88" t="s">
        <v>121</v>
      </c>
      <c r="C17" s="89">
        <f>"http://www.trb.org/AnnualMeeting/AnnualMeeting.aspx"</f>
        <v>0</v>
      </c>
      <c r="D17" s="130" t="s">
        <v>122</v>
      </c>
      <c r="E17" s="91" t="s">
        <v>107</v>
      </c>
      <c r="F17" s="130" t="s">
        <v>123</v>
      </c>
      <c r="G17" s="137" t="s">
        <v>124</v>
      </c>
      <c r="H17" s="138"/>
      <c r="I17" s="139">
        <f>"Exhibitor's Information:  https://events.jspargo.com/trb20/public/enter.aspx"</f>
        <v>0</v>
      </c>
      <c r="J17" s="139"/>
      <c r="K17" s="140">
        <f>"http://www.trb.org/AnnualMeeting/ContactUs1.aspx"</f>
        <v>0</v>
      </c>
      <c r="L17" s="109">
        <f>"http://www.trb.org/AnnualMeeting/CallForPaper.aspx"</f>
        <v>0</v>
      </c>
      <c r="M17" s="110">
        <f>"TRB login:  https://www.editorialmanager.com/trr/default.aspx"</f>
        <v>0</v>
      </c>
      <c r="N17" s="111">
        <f>"Papers due: 2019/08/01"</f>
        <v>0</v>
      </c>
      <c r="O17" s="99" t="s">
        <v>125</v>
      </c>
      <c r="P17" s="130">
        <f>"http://www.trb.org/Calendar/Calendar.aspx"</f>
        <v>0</v>
      </c>
      <c r="Q17" s="100" t="s">
        <v>54</v>
      </c>
      <c r="R17" s="101" t="s">
        <v>55</v>
      </c>
      <c r="S17" s="141"/>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row>
    <row r="18" spans="1:64" ht="61.5" customHeight="1">
      <c r="A18" s="102"/>
      <c r="B18" s="88"/>
      <c r="C18" s="143">
        <f>"http://www.trb.org/Calendar/Blurbs/175205.aspx"</f>
        <v>0</v>
      </c>
      <c r="D18" s="130"/>
      <c r="E18" s="91"/>
      <c r="F18" s="130"/>
      <c r="G18" s="137"/>
      <c r="H18" s="138"/>
      <c r="I18" s="139" t="s">
        <v>126</v>
      </c>
      <c r="J18" s="139"/>
      <c r="K18" s="144" t="s">
        <v>127</v>
      </c>
      <c r="L18" s="145">
        <f>"Committees and Approved Subject Areas:  https://annualmeeting.mytrb.org/CallForPapers/index"</f>
        <v>0</v>
      </c>
      <c r="M18" s="110">
        <f>"Quick Guide for Authors:  http://onlinepubs.trb.org/onlinepubs/TRREM/QGsubreq.pdf"</f>
        <v>0</v>
      </c>
      <c r="N18" s="146"/>
      <c r="O18" s="99"/>
      <c r="P18" s="130"/>
      <c r="Q18" s="100"/>
      <c r="R18" s="101"/>
      <c r="S18" s="85"/>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64" ht="61.5" customHeight="1">
      <c r="A19" s="147" t="s">
        <v>92</v>
      </c>
      <c r="B19" s="113" t="s">
        <v>128</v>
      </c>
      <c r="C19" s="143"/>
      <c r="D19" s="148"/>
      <c r="E19" s="116" t="s">
        <v>129</v>
      </c>
      <c r="F19" s="148"/>
      <c r="G19" s="149"/>
      <c r="H19" s="150"/>
      <c r="I19" s="151"/>
      <c r="J19" s="152"/>
      <c r="K19" s="153"/>
      <c r="L19" s="154"/>
      <c r="M19" s="123"/>
      <c r="N19" s="155"/>
      <c r="O19" s="125"/>
      <c r="P19" s="148"/>
      <c r="Q19" s="126"/>
      <c r="R19" s="127"/>
      <c r="S19" s="85"/>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row>
    <row r="20" spans="1:64" s="86" customFormat="1" ht="30.75" customHeight="1">
      <c r="A20" s="102" t="s">
        <v>130</v>
      </c>
      <c r="B20" s="88" t="s">
        <v>131</v>
      </c>
      <c r="C20" s="89">
        <f>"https://info.chargepoint.com/3-best-practices-for-workplace-webinar.html (Register here)"</f>
        <v>0</v>
      </c>
      <c r="D20" s="130"/>
      <c r="E20" s="91" t="s">
        <v>132</v>
      </c>
      <c r="F20" s="130" t="s">
        <v>133</v>
      </c>
      <c r="G20" s="137" t="s">
        <v>134</v>
      </c>
      <c r="H20" s="138" t="s">
        <v>135</v>
      </c>
      <c r="I20" s="156"/>
      <c r="J20" s="157"/>
      <c r="K20" s="158"/>
      <c r="L20" s="159"/>
      <c r="M20" s="110"/>
      <c r="N20" s="146"/>
      <c r="O20" s="99" t="s">
        <v>136</v>
      </c>
      <c r="P20" s="130">
        <f>"https://www.chargepoint.com/"</f>
        <v>0</v>
      </c>
      <c r="Q20" s="100" t="s">
        <v>137</v>
      </c>
      <c r="R20" s="101" t="s">
        <v>86</v>
      </c>
      <c r="S20" s="85"/>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s="86" customFormat="1" ht="30.75" customHeight="1">
      <c r="A21" s="102"/>
      <c r="B21" s="88"/>
      <c r="C21" s="89"/>
      <c r="D21" s="130"/>
      <c r="E21" s="91"/>
      <c r="F21" s="130"/>
      <c r="G21" s="137"/>
      <c r="H21" s="138" t="s">
        <v>138</v>
      </c>
      <c r="I21" s="156"/>
      <c r="J21" s="157"/>
      <c r="K21" s="158"/>
      <c r="L21" s="159"/>
      <c r="M21" s="110"/>
      <c r="N21" s="146"/>
      <c r="O21" s="99"/>
      <c r="P21" s="130"/>
      <c r="Q21" s="100"/>
      <c r="R21" s="101"/>
      <c r="S21" s="85"/>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row>
    <row r="22" spans="1:64" s="86" customFormat="1" ht="37.5" customHeight="1">
      <c r="A22" s="102" t="s">
        <v>139</v>
      </c>
      <c r="B22" s="88" t="s">
        <v>140</v>
      </c>
      <c r="C22" s="89">
        <f>"https://www.borneosoft.com/form/bxChSp/0/webinar-all-solid-state-batteries-and-the-future-of-energy-storage"</f>
        <v>0</v>
      </c>
      <c r="D22" s="130"/>
      <c r="E22" s="91" t="s">
        <v>141</v>
      </c>
      <c r="F22" s="130" t="s">
        <v>142</v>
      </c>
      <c r="G22" s="160">
        <f>"&amp;hellip; several barriers still need to be overcome before ASSBs can be commercialized."</f>
        <v>0</v>
      </c>
      <c r="H22" s="161" t="s">
        <v>143</v>
      </c>
      <c r="I22" s="162"/>
      <c r="J22" s="163"/>
      <c r="K22" s="144"/>
      <c r="L22" s="159" t="s">
        <v>144</v>
      </c>
      <c r="M22" s="110"/>
      <c r="N22" s="146"/>
      <c r="O22" s="99" t="s">
        <v>145</v>
      </c>
      <c r="P22" s="130">
        <f>"https://plugvolt.com/webinars/"</f>
        <v>0</v>
      </c>
      <c r="Q22" s="100" t="s">
        <v>54</v>
      </c>
      <c r="R22" s="128" t="s">
        <v>55</v>
      </c>
      <c r="S22" s="85"/>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row>
    <row r="23" spans="1:64" s="86" customFormat="1" ht="37.5" customHeight="1">
      <c r="A23" s="102"/>
      <c r="B23" s="88"/>
      <c r="C23" s="89"/>
      <c r="D23" s="130"/>
      <c r="E23" s="91"/>
      <c r="F23" s="130"/>
      <c r="G23" s="160"/>
      <c r="H23" s="161" t="s">
        <v>146</v>
      </c>
      <c r="I23" s="162"/>
      <c r="J23" s="163"/>
      <c r="K23" s="144"/>
      <c r="L23" s="159"/>
      <c r="M23" s="110"/>
      <c r="N23" s="146"/>
      <c r="O23" s="99"/>
      <c r="P23" s="130"/>
      <c r="Q23" s="100"/>
      <c r="R23" s="128"/>
      <c r="S23" s="85"/>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s="86" customFormat="1" ht="42" customHeight="1">
      <c r="A24" s="102" t="s">
        <v>147</v>
      </c>
      <c r="B24" s="88" t="s">
        <v>148</v>
      </c>
      <c r="C24" s="89">
        <f>"https://zoom.us/webinar/register/1415747126256/WN_zOW7uh96RaGc2MQL09JY4Q"</f>
        <v>0</v>
      </c>
      <c r="D24" s="130"/>
      <c r="E24" s="91" t="s">
        <v>149</v>
      </c>
      <c r="F24" s="130" t="s">
        <v>150</v>
      </c>
      <c r="G24" s="137" t="s">
        <v>151</v>
      </c>
      <c r="H24" s="164" t="s">
        <v>152</v>
      </c>
      <c r="I24" s="162"/>
      <c r="J24" s="163"/>
      <c r="K24" s="144"/>
      <c r="L24" s="159"/>
      <c r="M24" s="110"/>
      <c r="N24" s="146"/>
      <c r="O24" s="99" t="s">
        <v>153</v>
      </c>
      <c r="P24" s="130" t="s">
        <v>154</v>
      </c>
      <c r="Q24" s="100" t="s">
        <v>54</v>
      </c>
      <c r="R24" s="128" t="s">
        <v>55</v>
      </c>
      <c r="S24" s="85"/>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s="86" customFormat="1" ht="19.5" customHeight="1">
      <c r="A25" s="102"/>
      <c r="B25" s="88"/>
      <c r="C25" s="89"/>
      <c r="D25" s="130"/>
      <c r="E25" s="91"/>
      <c r="F25" s="130"/>
      <c r="G25" s="137"/>
      <c r="H25" s="164" t="s">
        <v>155</v>
      </c>
      <c r="I25" s="162"/>
      <c r="J25" s="163"/>
      <c r="K25" s="144"/>
      <c r="L25" s="159"/>
      <c r="M25" s="110"/>
      <c r="N25" s="146"/>
      <c r="O25" s="99"/>
      <c r="P25" s="130"/>
      <c r="Q25" s="100"/>
      <c r="R25" s="128"/>
      <c r="S25" s="85"/>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row>
    <row r="26" spans="1:64" s="86" customFormat="1" ht="38.25" customHeight="1">
      <c r="A26" s="165" t="s">
        <v>156</v>
      </c>
      <c r="B26" s="166" t="s">
        <v>157</v>
      </c>
      <c r="C26" s="103">
        <f>"https://www.sae.org/attend/government-industry/"</f>
        <v>0</v>
      </c>
      <c r="D26" s="90" t="s">
        <v>122</v>
      </c>
      <c r="E26" s="91" t="s">
        <v>158</v>
      </c>
      <c r="F26" s="90" t="s">
        <v>159</v>
      </c>
      <c r="G26" s="167" t="s">
        <v>160</v>
      </c>
      <c r="H26" s="168"/>
      <c r="I26" s="169"/>
      <c r="J26" s="170"/>
      <c r="K26" s="171"/>
      <c r="L26" s="172">
        <f>"You get a free pass to the Washington Auto Show:  https://www.washingtonautoshow.com/"</f>
        <v>0</v>
      </c>
      <c r="M26" s="173"/>
      <c r="N26" s="174"/>
      <c r="O26" s="175" t="s">
        <v>83</v>
      </c>
      <c r="P26" s="176">
        <f>"https://www.sae.org/attend/"</f>
        <v>0</v>
      </c>
      <c r="Q26" s="177" t="s">
        <v>54</v>
      </c>
      <c r="R26" s="128" t="s">
        <v>55</v>
      </c>
      <c r="S26" s="85"/>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s="86" customFormat="1" ht="61.5" customHeight="1">
      <c r="A27" s="87" t="s">
        <v>161</v>
      </c>
      <c r="B27" s="88" t="s">
        <v>162</v>
      </c>
      <c r="C27" s="89">
        <f>"https://www.renewablegas360.com/"</f>
        <v>0</v>
      </c>
      <c r="D27" s="90" t="s">
        <v>163</v>
      </c>
      <c r="E27" s="91" t="s">
        <v>164</v>
      </c>
      <c r="F27" s="90" t="s">
        <v>165</v>
      </c>
      <c r="G27" s="167" t="s">
        <v>166</v>
      </c>
      <c r="H27" s="168"/>
      <c r="I27" s="135">
        <f>"Alt. info:  https://www.globenewswire.com/news-release/2019/06/25/1874094/0/en/Renewable-Gas-360-formerly-the-Rethink-Methane-Symposium-Announces-2020-Dates.html"</f>
        <v>0</v>
      </c>
      <c r="J27" s="135"/>
      <c r="K27" s="135"/>
      <c r="L27" s="145">
        <f>"News article:  https://www.enn.com/articles/58943-could-renewable-natural-gas-be-the-next-big-thing-in-green-energy"</f>
        <v>0</v>
      </c>
      <c r="M27" s="173"/>
      <c r="N27" s="174"/>
      <c r="O27" s="175" t="s">
        <v>167</v>
      </c>
      <c r="P27" s="176">
        <f>"https://www.act-news.com/"</f>
        <v>0</v>
      </c>
      <c r="Q27" s="177" t="s">
        <v>54</v>
      </c>
      <c r="R27" s="128" t="s">
        <v>55</v>
      </c>
      <c r="S27" s="85"/>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19" s="86" customFormat="1" ht="38.25" customHeight="1">
      <c r="A28" s="87" t="s">
        <v>168</v>
      </c>
      <c r="B28" s="88" t="s">
        <v>169</v>
      </c>
      <c r="C28" s="89">
        <f>"https://www.sae.org/attend/hybrid/"</f>
        <v>0</v>
      </c>
      <c r="D28" s="90" t="s">
        <v>170</v>
      </c>
      <c r="E28" s="91" t="s">
        <v>171</v>
      </c>
      <c r="F28" s="90" t="s">
        <v>172</v>
      </c>
      <c r="G28" s="178" t="s">
        <v>173</v>
      </c>
      <c r="H28" s="105"/>
      <c r="I28" s="169"/>
      <c r="J28" s="170"/>
      <c r="K28" s="179"/>
      <c r="L28" s="145"/>
      <c r="M28" s="173"/>
      <c r="N28" s="180"/>
      <c r="O28" s="175" t="s">
        <v>83</v>
      </c>
      <c r="P28" s="176">
        <f>"https://www.sae.org/attend/"</f>
        <v>0</v>
      </c>
      <c r="Q28" s="181" t="s">
        <v>54</v>
      </c>
      <c r="R28" s="128" t="s">
        <v>55</v>
      </c>
      <c r="S28" s="141"/>
    </row>
    <row r="29" spans="1:64" s="86" customFormat="1" ht="108.75" customHeight="1">
      <c r="A29" s="182" t="s">
        <v>174</v>
      </c>
      <c r="B29" s="183">
        <f>"SBIR-Acad"</f>
        <v>0</v>
      </c>
      <c r="C29" s="183">
        <f>"https://ctinnovations.zoom.us/meeting/register/tJ0rfu6pqTkoU5z_z5TfAyCfxH3pLD9XMg?_ga=2.169176617.922142534.1579268556-1470512827.1566243605"</f>
        <v>0</v>
      </c>
      <c r="D29" s="183"/>
      <c r="E29" s="91" t="s">
        <v>175</v>
      </c>
      <c r="F29" s="183" t="s">
        <v>176</v>
      </c>
      <c r="G29" s="184" t="s">
        <v>177</v>
      </c>
      <c r="H29" s="185"/>
      <c r="I29" s="106" t="s">
        <v>178</v>
      </c>
      <c r="J29" s="107" t="s">
        <v>179</v>
      </c>
      <c r="K29" s="108">
        <f>"mailto:johnna.scott@ctnext.com"</f>
        <v>0</v>
      </c>
      <c r="L29" s="159"/>
      <c r="M29" s="97"/>
      <c r="N29" s="98"/>
      <c r="O29" s="99"/>
      <c r="P29" s="183"/>
      <c r="Q29" s="100" t="s">
        <v>54</v>
      </c>
      <c r="R29" s="128" t="s">
        <v>55</v>
      </c>
      <c r="S29" s="85"/>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row>
    <row r="30" spans="1:64" ht="42" customHeight="1">
      <c r="A30" s="87" t="s">
        <v>180</v>
      </c>
      <c r="B30" s="88" t="s">
        <v>181</v>
      </c>
      <c r="C30" s="89">
        <f>"https://www.thesmartere.com/en/home/webinars/upcoming-webinars/e-mobility-as-an-energy-resource"</f>
        <v>0</v>
      </c>
      <c r="D30" s="90"/>
      <c r="E30" s="91" t="s">
        <v>182</v>
      </c>
      <c r="F30" s="90" t="s">
        <v>183</v>
      </c>
      <c r="G30" s="160" t="s">
        <v>184</v>
      </c>
      <c r="H30" s="186" t="s">
        <v>185</v>
      </c>
      <c r="I30" s="106"/>
      <c r="J30" s="107"/>
      <c r="K30" s="134"/>
      <c r="L30" s="159">
        <f>"Mandatory Free Registration:  https://register.gotowebinar.com/register/9087325469374429708"</f>
        <v>0</v>
      </c>
      <c r="M30" s="123" t="s">
        <v>186</v>
      </c>
      <c r="N30" s="146"/>
      <c r="O30" s="99" t="s">
        <v>187</v>
      </c>
      <c r="P30" s="183" t="s">
        <v>188</v>
      </c>
      <c r="Q30" s="187" t="s">
        <v>54</v>
      </c>
      <c r="R30" s="128" t="s">
        <v>55</v>
      </c>
      <c r="S30" s="141"/>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row>
    <row r="31" spans="1:64" ht="65.25" customHeight="1">
      <c r="A31" s="87"/>
      <c r="B31" s="88"/>
      <c r="C31" s="89"/>
      <c r="D31" s="90"/>
      <c r="E31" s="90"/>
      <c r="F31" s="90"/>
      <c r="G31" s="160"/>
      <c r="H31" s="186" t="s">
        <v>189</v>
      </c>
      <c r="I31" s="106"/>
      <c r="J31" s="107"/>
      <c r="K31" s="134"/>
      <c r="L31" s="159"/>
      <c r="M31" s="123"/>
      <c r="N31" s="146"/>
      <c r="O31" s="125" t="s">
        <v>190</v>
      </c>
      <c r="P31" s="148">
        <f>"https://www.powertodrive.de/en/news-press/news/webinars-videos"</f>
        <v>0</v>
      </c>
      <c r="Q31" s="187"/>
      <c r="R31" s="128"/>
      <c r="S31" s="141"/>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row>
    <row r="32" spans="1:19" s="86" customFormat="1" ht="65.25" customHeight="1">
      <c r="A32" s="87" t="s">
        <v>191</v>
      </c>
      <c r="B32" s="88" t="s">
        <v>192</v>
      </c>
      <c r="C32" s="89">
        <f>"https://teslasciencecenter.org/events/steam-night-at-miller-place-high-school/"</f>
        <v>0</v>
      </c>
      <c r="D32" s="90" t="s">
        <v>193</v>
      </c>
      <c r="E32" s="90" t="s">
        <v>194</v>
      </c>
      <c r="F32" s="90" t="s">
        <v>195</v>
      </c>
      <c r="G32" s="104">
        <f>"&amp;hellip; an exciting array of exhibits for students and educators &amp;hellip;"</f>
        <v>0</v>
      </c>
      <c r="H32" s="186"/>
      <c r="I32" s="106"/>
      <c r="J32" s="107"/>
      <c r="K32" s="108"/>
      <c r="L32" s="96">
        <f>"Location:  https://www.millerplace.k12.ny.us/site/default.aspx?PageType=3&amp;ModuleInstanceID=6032&amp;ViewID=503a3e79-9340-40fd-8d85-f3b476c2baf0&amp;RenderLoc=0&amp;FlexDataID=9050&amp;PageID=409"</f>
        <v>0</v>
      </c>
      <c r="M32" s="96"/>
      <c r="N32" s="96"/>
      <c r="O32" s="99" t="s">
        <v>66</v>
      </c>
      <c r="P32" s="183">
        <f>"https://teslasciencecenter.org/events/"</f>
        <v>0</v>
      </c>
      <c r="Q32" s="100" t="s">
        <v>67</v>
      </c>
      <c r="R32" s="101" t="s">
        <v>68</v>
      </c>
      <c r="S32" s="141"/>
    </row>
    <row r="33" spans="1:19" s="86" customFormat="1" ht="62.25" customHeight="1">
      <c r="A33" s="87" t="s">
        <v>196</v>
      </c>
      <c r="B33" s="88" t="s">
        <v>197</v>
      </c>
      <c r="C33" s="89">
        <f>"https://www.mnmexpo.com/ev-charging/"</f>
        <v>0</v>
      </c>
      <c r="D33" s="90" t="s">
        <v>198</v>
      </c>
      <c r="E33" s="90" t="s">
        <v>199</v>
      </c>
      <c r="F33" s="90" t="s">
        <v>200</v>
      </c>
      <c r="G33" s="178" t="s">
        <v>201</v>
      </c>
      <c r="H33" s="105"/>
      <c r="I33" s="169"/>
      <c r="J33" s="170"/>
      <c r="K33" s="179"/>
      <c r="L33" s="145">
        <f>"Registration:  https://www.mnmexpo.com/ev-charging/register"</f>
        <v>0</v>
      </c>
      <c r="M33" s="173"/>
      <c r="N33" s="180"/>
      <c r="O33" s="99" t="s">
        <v>187</v>
      </c>
      <c r="P33" s="183" t="s">
        <v>188</v>
      </c>
      <c r="Q33" s="100" t="s">
        <v>54</v>
      </c>
      <c r="R33" s="128" t="s">
        <v>55</v>
      </c>
      <c r="S33" s="141"/>
    </row>
    <row r="34" spans="1:64" s="86" customFormat="1" ht="89.25" customHeight="1">
      <c r="A34" s="102" t="s">
        <v>202</v>
      </c>
      <c r="B34" s="88" t="s">
        <v>203</v>
      </c>
      <c r="C34" s="89">
        <f>"https://www.borneosoft.com/form/sk5ij/0/webinar-the-us-2020-market-for-electrified-vehicles-forward-backward-or-sideways"</f>
        <v>0</v>
      </c>
      <c r="D34" s="183"/>
      <c r="E34" s="91" t="s">
        <v>204</v>
      </c>
      <c r="F34" s="183" t="s">
        <v>205</v>
      </c>
      <c r="G34" s="104" t="s">
        <v>206</v>
      </c>
      <c r="H34" s="161" t="s">
        <v>207</v>
      </c>
      <c r="I34" s="162"/>
      <c r="J34" s="163"/>
      <c r="K34" s="144"/>
      <c r="L34" s="159" t="s">
        <v>144</v>
      </c>
      <c r="M34" s="110"/>
      <c r="N34" s="146"/>
      <c r="O34" s="99" t="s">
        <v>145</v>
      </c>
      <c r="P34" s="183">
        <f>"https://plugvolt.com/webinars/"</f>
        <v>0</v>
      </c>
      <c r="Q34" s="100" t="s">
        <v>54</v>
      </c>
      <c r="R34" s="128" t="s">
        <v>55</v>
      </c>
      <c r="S34" s="85"/>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s="86" customFormat="1" ht="32.25" customHeight="1">
      <c r="A35" s="102" t="s">
        <v>208</v>
      </c>
      <c r="B35" s="88" t="s">
        <v>209</v>
      </c>
      <c r="C35" s="89">
        <f>"https://register.gotowebinar.com/register/3924867688589261836"</f>
        <v>0</v>
      </c>
      <c r="D35" s="130"/>
      <c r="E35" s="91" t="s">
        <v>210</v>
      </c>
      <c r="F35" s="130" t="s">
        <v>211</v>
      </c>
      <c r="G35" s="160" t="s">
        <v>212</v>
      </c>
      <c r="H35" s="161" t="s">
        <v>213</v>
      </c>
      <c r="I35" s="162"/>
      <c r="J35" s="163"/>
      <c r="K35" s="144"/>
      <c r="L35" s="159"/>
      <c r="M35" s="110"/>
      <c r="N35" s="146"/>
      <c r="O35" s="99" t="s">
        <v>214</v>
      </c>
      <c r="P35" s="130">
        <f>"https://energycenter.org/"</f>
        <v>0</v>
      </c>
      <c r="Q35" s="100" t="s">
        <v>54</v>
      </c>
      <c r="R35" s="128" t="s">
        <v>55</v>
      </c>
      <c r="S35" s="85"/>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row>
    <row r="36" spans="1:64" s="86" customFormat="1" ht="32.25" customHeight="1">
      <c r="A36" s="102"/>
      <c r="B36" s="88"/>
      <c r="C36" s="89"/>
      <c r="D36" s="130"/>
      <c r="E36" s="91"/>
      <c r="F36" s="130"/>
      <c r="G36" s="160"/>
      <c r="H36" s="161" t="s">
        <v>215</v>
      </c>
      <c r="I36" s="162"/>
      <c r="J36" s="163"/>
      <c r="K36" s="144"/>
      <c r="L36" s="159"/>
      <c r="M36" s="110"/>
      <c r="N36" s="146"/>
      <c r="O36" s="99"/>
      <c r="P36" s="130"/>
      <c r="Q36" s="100"/>
      <c r="R36" s="128"/>
      <c r="S36" s="85"/>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row>
    <row r="37" spans="1:64" s="86" customFormat="1" ht="69" customHeight="1">
      <c r="A37" s="102" t="s">
        <v>216</v>
      </c>
      <c r="B37" s="88" t="s">
        <v>217</v>
      </c>
      <c r="C37" s="89">
        <f>"https://startupprize.eu/"</f>
        <v>0</v>
      </c>
      <c r="D37" s="130" t="s">
        <v>218</v>
      </c>
      <c r="E37" s="188">
        <f>"Contest open:  2020/02/20 – 03/31"</f>
        <v>0</v>
      </c>
      <c r="F37" s="130" t="s">
        <v>219</v>
      </c>
      <c r="G37" s="160" t="s">
        <v>220</v>
      </c>
      <c r="H37" s="132"/>
      <c r="I37" s="162"/>
      <c r="J37" s="163"/>
      <c r="K37" s="144">
        <f>"Newsletter subscription:  https://startupsprize.us16.list-manage.com/subscribe?u=e7a67bf0c991ed24e3e4e7fd6&amp;id=6b6ad4d736"</f>
        <v>0</v>
      </c>
      <c r="L37" s="159">
        <f>"Prize Rules:  https://startupprize.eu/prize-rules-2020/"</f>
        <v>0</v>
      </c>
      <c r="M37" s="110"/>
      <c r="N37" s="146" t="s">
        <v>221</v>
      </c>
      <c r="O37" s="99" t="s">
        <v>222</v>
      </c>
      <c r="P37" s="130">
        <f>"https://ertico.com/"</f>
        <v>0</v>
      </c>
      <c r="Q37" s="100" t="s">
        <v>54</v>
      </c>
      <c r="R37" s="128" t="s">
        <v>55</v>
      </c>
      <c r="S37" s="85"/>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s="86" customFormat="1" ht="88.5" customHeight="1">
      <c r="A38" s="102"/>
      <c r="B38" s="88"/>
      <c r="C38" s="89">
        <f>"Alt. link: https://erticonetwork.com/bigger-faster-smarter-join-ertico-at-the-2020-european-startup-prize-for-mobility-kick-off-event/"</f>
        <v>0</v>
      </c>
      <c r="D38" s="130"/>
      <c r="E38" s="188">
        <f>"Kick-off event:  2020/02/20  17:30 – 20:30 CET"</f>
        <v>0</v>
      </c>
      <c r="F38" s="130"/>
      <c r="G38" s="160"/>
      <c r="H38" s="132"/>
      <c r="I38" s="162"/>
      <c r="J38" s="163"/>
      <c r="K38" s="189">
        <f>"Kickoff Program (incl Regis. &amp; Contact):  https://www.eventbrite.com/e/eu-startup-prize-for-mobility-2020-kickoff-ceremony-tickets-90654972463"</f>
        <v>0</v>
      </c>
      <c r="L38" s="159"/>
      <c r="M38" s="110"/>
      <c r="N38" s="146"/>
      <c r="O38" s="99"/>
      <c r="P38" s="130"/>
      <c r="Q38" s="100"/>
      <c r="R38" s="100"/>
      <c r="S38" s="85"/>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row>
    <row r="39" spans="1:64" ht="58.5" customHeight="1">
      <c r="A39" s="182" t="s">
        <v>223</v>
      </c>
      <c r="B39" s="130">
        <f>"CTnext"</f>
        <v>0</v>
      </c>
      <c r="C39" s="130">
        <f>"https://www.eiseverywhere.com/ereg/index.php?eventid=517907&amp;"</f>
        <v>0</v>
      </c>
      <c r="D39" s="130" t="s">
        <v>224</v>
      </c>
      <c r="E39" s="116" t="s">
        <v>225</v>
      </c>
      <c r="F39" s="130" t="s">
        <v>176</v>
      </c>
      <c r="G39" s="184" t="s">
        <v>226</v>
      </c>
      <c r="H39" s="190" t="s">
        <v>227</v>
      </c>
      <c r="I39" s="106" t="s">
        <v>178</v>
      </c>
      <c r="J39" s="107" t="s">
        <v>179</v>
      </c>
      <c r="K39" s="134">
        <f>"mailto:johnna.scott@ctnext.com"</f>
        <v>0</v>
      </c>
      <c r="L39" s="159">
        <f>"Registration: https://www.eiseverywhere.com/ereg/newreg.php?eventid=517907&amp;"</f>
        <v>0</v>
      </c>
      <c r="M39" s="97"/>
      <c r="N39" s="98"/>
      <c r="O39" s="99"/>
      <c r="P39" s="130"/>
      <c r="Q39" s="100" t="s">
        <v>54</v>
      </c>
      <c r="R39" s="128" t="s">
        <v>55</v>
      </c>
      <c r="S39" s="85"/>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row>
    <row r="40" spans="1:64" ht="58.5" customHeight="1">
      <c r="A40" s="182"/>
      <c r="B40" s="130"/>
      <c r="C40" s="130"/>
      <c r="D40" s="130"/>
      <c r="E40" s="116" t="s">
        <v>228</v>
      </c>
      <c r="F40" s="130"/>
      <c r="G40" s="184"/>
      <c r="H40" s="190"/>
      <c r="I40" s="106"/>
      <c r="J40" s="107"/>
      <c r="K40" s="134"/>
      <c r="L40" s="159"/>
      <c r="M40" s="97"/>
      <c r="N40" s="98"/>
      <c r="O40" s="99"/>
      <c r="P40" s="130"/>
      <c r="Q40" s="100"/>
      <c r="R40" s="128"/>
      <c r="S40" s="85"/>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row>
    <row r="41" spans="1:64" s="86" customFormat="1" ht="44.25" customHeight="1">
      <c r="A41" s="102" t="s">
        <v>229</v>
      </c>
      <c r="B41" s="88" t="s">
        <v>230</v>
      </c>
      <c r="C41" s="89">
        <f>"http://www.beva-detroit.com/"</f>
        <v>0</v>
      </c>
      <c r="D41" s="183" t="s">
        <v>231</v>
      </c>
      <c r="E41" s="91" t="s">
        <v>232</v>
      </c>
      <c r="F41" s="183" t="s">
        <v>233</v>
      </c>
      <c r="G41" s="104" t="s">
        <v>234</v>
      </c>
      <c r="H41" s="161"/>
      <c r="I41" s="162"/>
      <c r="J41" s="163"/>
      <c r="K41" s="144">
        <f>"https://www.american-business-conferences.com/contact"</f>
        <v>0</v>
      </c>
      <c r="L41" s="159">
        <f>"Exhibitors&amp;rsquo; info:  http://www.beva-detroit.com/sponsor-or-exhibit/"</f>
        <v>0</v>
      </c>
      <c r="M41" s="110"/>
      <c r="N41" s="146"/>
      <c r="O41" s="99" t="s">
        <v>153</v>
      </c>
      <c r="P41" s="183">
        <f>"https://chargedevs.com/"</f>
        <v>0</v>
      </c>
      <c r="Q41" s="100" t="s">
        <v>54</v>
      </c>
      <c r="R41" s="128" t="s">
        <v>55</v>
      </c>
      <c r="S41" s="85"/>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row>
    <row r="42" spans="1:64" s="86" customFormat="1" ht="56.25" customHeight="1">
      <c r="A42" s="191" t="s">
        <v>235</v>
      </c>
      <c r="B42" s="191" t="s">
        <v>236</v>
      </c>
      <c r="C42" s="192">
        <f>"https://mailchi.mp/mail/its-european-congress-news-1511605?e=08b924de14"</f>
        <v>0</v>
      </c>
      <c r="D42" s="193" t="s">
        <v>237</v>
      </c>
      <c r="E42" s="194" t="s">
        <v>238</v>
      </c>
      <c r="F42" s="195" t="s">
        <v>239</v>
      </c>
      <c r="G42" s="196" t="s">
        <v>240</v>
      </c>
      <c r="H42" s="197">
        <f>"Link to main link-block:  #ITSWC21"</f>
        <v>0</v>
      </c>
      <c r="I42" s="106"/>
      <c r="J42" s="198"/>
      <c r="K42" s="134"/>
      <c r="L42" s="159">
        <f>"RSVP:  https://www.surveymonkey.com/r/itswc21openday"</f>
        <v>0</v>
      </c>
      <c r="M42" s="97"/>
      <c r="N42" s="146" t="s">
        <v>241</v>
      </c>
      <c r="O42" s="199" t="s">
        <v>222</v>
      </c>
      <c r="P42" s="90" t="s">
        <v>242</v>
      </c>
      <c r="Q42" s="100" t="s">
        <v>54</v>
      </c>
      <c r="R42" s="128" t="s">
        <v>55</v>
      </c>
      <c r="S42" s="85"/>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row>
    <row r="43" spans="1:64" ht="65.25" customHeight="1">
      <c r="A43" s="191"/>
      <c r="B43" s="191"/>
      <c r="C43" s="200">
        <f>"Info page:  https://2019.itsineurope.com/2018/11/14/its-european-congress-open-day-11-december-2018/"</f>
        <v>0</v>
      </c>
      <c r="D43" s="193"/>
      <c r="E43" s="194"/>
      <c r="F43" s="195"/>
      <c r="G43" s="196"/>
      <c r="H43" s="197"/>
      <c r="I43" s="106"/>
      <c r="J43" s="198"/>
      <c r="K43" s="134"/>
      <c r="L43" s="159"/>
      <c r="M43" s="97"/>
      <c r="N43" s="146"/>
      <c r="O43" s="125" t="s">
        <v>243</v>
      </c>
      <c r="P43" s="115" t="s">
        <v>244</v>
      </c>
      <c r="Q43" s="100"/>
      <c r="R43" s="128"/>
      <c r="S43" s="85"/>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row>
    <row r="44" spans="1:64" ht="78" customHeight="1">
      <c r="A44" s="102" t="s">
        <v>245</v>
      </c>
      <c r="B44" s="88" t="s">
        <v>246</v>
      </c>
      <c r="C44" s="89">
        <f>"http://www.aim2020.poliba.it/wordpress/"</f>
        <v>0</v>
      </c>
      <c r="D44" s="183" t="s">
        <v>247</v>
      </c>
      <c r="E44" s="91" t="s">
        <v>248</v>
      </c>
      <c r="F44" s="183" t="s">
        <v>249</v>
      </c>
      <c r="G44" s="104" t="s">
        <v>250</v>
      </c>
      <c r="H44" s="161"/>
      <c r="I44" s="162"/>
      <c r="J44" s="163"/>
      <c r="K44" s="144">
        <f>"mailto:aim2020@poliba.it"</f>
        <v>0</v>
      </c>
      <c r="L44" s="159">
        <f>"Flyer:  http://www.aim2020.poliba.it/wordpress/wp-content/uploads/2019/05/flyer.pdf"</f>
        <v>0</v>
      </c>
      <c r="M44" s="110"/>
      <c r="N44" s="155" t="s">
        <v>251</v>
      </c>
      <c r="O44" s="99" t="s">
        <v>252</v>
      </c>
      <c r="P44" s="183" t="s">
        <v>253</v>
      </c>
      <c r="Q44" s="100" t="s">
        <v>54</v>
      </c>
      <c r="R44" s="128" t="s">
        <v>55</v>
      </c>
      <c r="S44" s="85"/>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ht="30.75" customHeight="1">
      <c r="A45" s="87" t="s">
        <v>254</v>
      </c>
      <c r="B45" s="88" t="s">
        <v>255</v>
      </c>
      <c r="C45" s="89">
        <f>"https://event.webcasts.com/starthere.jsp?ei=1282027&amp;tp_key=3f15623d68"</f>
        <v>0</v>
      </c>
      <c r="D45" s="90"/>
      <c r="E45" s="91" t="s">
        <v>256</v>
      </c>
      <c r="F45" s="90" t="s">
        <v>257</v>
      </c>
      <c r="G45" s="104" t="s">
        <v>258</v>
      </c>
      <c r="H45" s="201" t="s">
        <v>259</v>
      </c>
      <c r="I45" s="106"/>
      <c r="J45" s="202"/>
      <c r="K45" s="108"/>
      <c r="L45" s="159"/>
      <c r="M45" s="97"/>
      <c r="N45" s="108"/>
      <c r="O45" s="203" t="s">
        <v>260</v>
      </c>
      <c r="P45" s="204">
        <f>"https://www.sae.org/webcasts"</f>
        <v>0</v>
      </c>
      <c r="Q45" s="205" t="s">
        <v>54</v>
      </c>
      <c r="R45" s="206" t="s">
        <v>55</v>
      </c>
      <c r="S45" s="85"/>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row>
    <row r="46" spans="1:64" ht="33" customHeight="1">
      <c r="A46" s="87"/>
      <c r="B46" s="88"/>
      <c r="C46" s="89"/>
      <c r="D46" s="90"/>
      <c r="E46" s="91"/>
      <c r="F46" s="90"/>
      <c r="G46" s="104"/>
      <c r="H46" s="185" t="s">
        <v>261</v>
      </c>
      <c r="I46" s="106"/>
      <c r="J46" s="202"/>
      <c r="K46" s="108"/>
      <c r="L46" s="159"/>
      <c r="M46" s="97"/>
      <c r="N46" s="108"/>
      <c r="O46" s="203"/>
      <c r="P46" s="204"/>
      <c r="Q46" s="205"/>
      <c r="R46" s="206"/>
      <c r="S46" s="85"/>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row>
    <row r="47" spans="1:64" ht="18.75" customHeight="1">
      <c r="A47" s="87"/>
      <c r="B47" s="88"/>
      <c r="C47" s="89"/>
      <c r="D47" s="90"/>
      <c r="E47" s="90"/>
      <c r="F47" s="90"/>
      <c r="G47" s="104"/>
      <c r="H47" s="132" t="s">
        <v>262</v>
      </c>
      <c r="I47" s="106"/>
      <c r="J47" s="202"/>
      <c r="K47" s="108"/>
      <c r="L47" s="159"/>
      <c r="M47" s="97"/>
      <c r="N47" s="108"/>
      <c r="O47" s="203"/>
      <c r="P47" s="204"/>
      <c r="Q47" s="205"/>
      <c r="R47" s="206"/>
      <c r="S47" s="85"/>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row>
    <row r="48" spans="1:64" ht="79.5" customHeight="1">
      <c r="A48" s="102" t="s">
        <v>263</v>
      </c>
      <c r="B48" s="88" t="s">
        <v>264</v>
      </c>
      <c r="C48" s="89">
        <f>"https://www.borneosoft.com/form/bTh95T/0/eis-measurements-for-energy-storage-what-how-and-why"</f>
        <v>0</v>
      </c>
      <c r="D48" s="183"/>
      <c r="E48" s="91" t="s">
        <v>265</v>
      </c>
      <c r="F48" s="183" t="s">
        <v>266</v>
      </c>
      <c r="G48" s="104" t="s">
        <v>267</v>
      </c>
      <c r="H48" s="161" t="s">
        <v>268</v>
      </c>
      <c r="I48" s="162"/>
      <c r="J48" s="163"/>
      <c r="K48" s="144"/>
      <c r="L48" s="159" t="s">
        <v>269</v>
      </c>
      <c r="M48" s="110"/>
      <c r="N48" s="146"/>
      <c r="O48" s="99" t="s">
        <v>145</v>
      </c>
      <c r="P48" s="183">
        <f>"https://plugvolt.com/webinars/"</f>
        <v>0</v>
      </c>
      <c r="Q48" s="100" t="s">
        <v>54</v>
      </c>
      <c r="R48" s="128" t="s">
        <v>55</v>
      </c>
      <c r="S48" s="85"/>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ht="53.25" customHeight="1">
      <c r="A49" s="102" t="s">
        <v>270</v>
      </c>
      <c r="B49" s="88">
        <f>"NGen-Circ-Prot"</f>
        <v>0</v>
      </c>
      <c r="C49" s="89">
        <f>"https://zoom.us/webinar/register/WN_dJcUbTjtTVi1MWAWkaU6jg"</f>
        <v>0</v>
      </c>
      <c r="D49" s="183"/>
      <c r="E49" s="91" t="s">
        <v>271</v>
      </c>
      <c r="F49" s="183" t="s">
        <v>272</v>
      </c>
      <c r="G49" s="104" t="s">
        <v>273</v>
      </c>
      <c r="H49" s="164" t="s">
        <v>274</v>
      </c>
      <c r="I49" s="162"/>
      <c r="J49" s="163"/>
      <c r="K49" s="144"/>
      <c r="L49" s="159"/>
      <c r="M49" s="110"/>
      <c r="N49" s="146"/>
      <c r="O49" s="99" t="s">
        <v>153</v>
      </c>
      <c r="P49" s="183">
        <f>"https://chargedevs.com/"</f>
        <v>0</v>
      </c>
      <c r="Q49" s="100" t="s">
        <v>54</v>
      </c>
      <c r="R49" s="128" t="s">
        <v>55</v>
      </c>
      <c r="S49" s="85"/>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86" customFormat="1" ht="21" customHeight="1">
      <c r="A50" s="102" t="s">
        <v>275</v>
      </c>
      <c r="B50" s="88" t="s">
        <v>276</v>
      </c>
      <c r="C50" s="89">
        <f>"https://gomobility.eus/en/"</f>
        <v>0</v>
      </c>
      <c r="D50" s="130" t="s">
        <v>277</v>
      </c>
      <c r="E50" s="91" t="s">
        <v>278</v>
      </c>
      <c r="F50" s="130" t="s">
        <v>279</v>
      </c>
      <c r="G50" s="104" t="s">
        <v>280</v>
      </c>
      <c r="H50" s="164"/>
      <c r="I50" s="162"/>
      <c r="J50" s="163"/>
      <c r="K50" s="144"/>
      <c r="L50" s="159"/>
      <c r="M50" s="110"/>
      <c r="N50" s="146"/>
      <c r="O50" s="99" t="s">
        <v>187</v>
      </c>
      <c r="P50" s="130">
        <f>"http://avere.org/calendar/"</f>
        <v>0</v>
      </c>
      <c r="Q50" s="100" t="s">
        <v>54</v>
      </c>
      <c r="R50" s="128" t="s">
        <v>55</v>
      </c>
      <c r="S50" s="85"/>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row>
    <row r="51" spans="1:64" ht="53.25" customHeight="1">
      <c r="A51" s="102"/>
      <c r="B51" s="88"/>
      <c r="C51" s="89"/>
      <c r="D51" s="130"/>
      <c r="E51" s="91"/>
      <c r="F51" s="130"/>
      <c r="G51" s="117">
        <f>"&amp;hellip; the whole value chain of new mobility &amp;hellip; solutions that make mobility sustainable, secure, connected and accessible."</f>
        <v>0</v>
      </c>
      <c r="H51" s="164"/>
      <c r="I51" s="162"/>
      <c r="J51" s="163"/>
      <c r="K51" s="144"/>
      <c r="L51" s="159"/>
      <c r="M51" s="110"/>
      <c r="N51" s="146"/>
      <c r="O51" s="99"/>
      <c r="P51" s="130"/>
      <c r="Q51" s="100"/>
      <c r="R51" s="128"/>
      <c r="S51" s="85"/>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ht="68.25" customHeight="1">
      <c r="A52" s="87" t="s">
        <v>281</v>
      </c>
      <c r="B52" s="88" t="s">
        <v>282</v>
      </c>
      <c r="C52" s="89">
        <f>"https://teslasciencecenter.org/events/tesla-winter-tech-art-camp/"</f>
        <v>0</v>
      </c>
      <c r="D52" s="90" t="s">
        <v>283</v>
      </c>
      <c r="E52" s="91" t="s">
        <v>284</v>
      </c>
      <c r="F52" s="90" t="s">
        <v>285</v>
      </c>
      <c r="G52" s="178" t="s">
        <v>286</v>
      </c>
      <c r="H52" s="105" t="s">
        <v>287</v>
      </c>
      <c r="I52" s="169"/>
      <c r="J52" s="170"/>
      <c r="K52" s="179"/>
      <c r="L52" s="96">
        <f>"Location:  https://www.google.com/maps/place/The+Spur/@40.90835,-72.3969376,14z/data=!4m8!1m2!2m1!1sthe+spur!3m4!1s0x89e8954edd63ff83:0xcbc20b39066c81b7!8m2!3d40.8973032!4d-72.3729515"</f>
        <v>0</v>
      </c>
      <c r="M52" s="96"/>
      <c r="N52" s="146"/>
      <c r="O52" s="99" t="s">
        <v>66</v>
      </c>
      <c r="P52" s="183">
        <f>"https://teslasciencecenter.org/events/"</f>
        <v>0</v>
      </c>
      <c r="Q52" s="100" t="s">
        <v>67</v>
      </c>
      <c r="R52" s="101" t="s">
        <v>68</v>
      </c>
      <c r="S52" s="141"/>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row>
    <row r="53" spans="1:64" ht="62.25" customHeight="1">
      <c r="A53" s="87" t="s">
        <v>288</v>
      </c>
      <c r="B53" s="88" t="s">
        <v>289</v>
      </c>
      <c r="C53" s="89">
        <f>"https://sharedusemobilitycenter.org/event/2020-national-shared-mobility-summit/"</f>
        <v>0</v>
      </c>
      <c r="D53" s="130" t="s">
        <v>290</v>
      </c>
      <c r="E53" s="91" t="s">
        <v>291</v>
      </c>
      <c r="F53" s="130" t="s">
        <v>292</v>
      </c>
      <c r="G53" s="160" t="s">
        <v>293</v>
      </c>
      <c r="H53" s="132"/>
      <c r="I53" s="106"/>
      <c r="J53" s="107"/>
      <c r="K53" s="134">
        <f>"mailto:info@sharedusemobilitycenter.org"</f>
        <v>0</v>
      </c>
      <c r="L53" s="159"/>
      <c r="M53" s="110"/>
      <c r="N53" s="146"/>
      <c r="O53" s="99" t="s">
        <v>294</v>
      </c>
      <c r="P53" s="130">
        <f>"https://sharedusemobilitycenter.org/"</f>
        <v>0</v>
      </c>
      <c r="Q53" s="100" t="s">
        <v>85</v>
      </c>
      <c r="R53" s="101" t="s">
        <v>86</v>
      </c>
      <c r="S53" s="141"/>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row>
    <row r="54" spans="1:64" ht="60.75" customHeight="1">
      <c r="A54" s="87"/>
      <c r="B54" s="88"/>
      <c r="C54" s="89">
        <f>"Details:  https://sharedusemobilitycenter.org/save-the-date-2020-national-shared-mobility-summit/"</f>
        <v>0</v>
      </c>
      <c r="D54" s="130"/>
      <c r="E54" s="91"/>
      <c r="F54" s="91"/>
      <c r="G54" s="160"/>
      <c r="H54" s="132"/>
      <c r="I54" s="106"/>
      <c r="J54" s="107"/>
      <c r="K54" s="134"/>
      <c r="L54" s="159"/>
      <c r="M54" s="110"/>
      <c r="N54" s="146"/>
      <c r="O54" s="99"/>
      <c r="P54" s="130"/>
      <c r="Q54" s="100"/>
      <c r="R54" s="101"/>
      <c r="S54" s="141"/>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row>
    <row r="55" spans="1:64" ht="54" customHeight="1">
      <c r="A55" s="87" t="s">
        <v>295</v>
      </c>
      <c r="B55" s="88" t="s">
        <v>296</v>
      </c>
      <c r="C55" s="89">
        <f>"https://easychair.org/cfp/VETECH-2020"</f>
        <v>0</v>
      </c>
      <c r="D55" s="130" t="s">
        <v>297</v>
      </c>
      <c r="E55" s="91" t="s">
        <v>298</v>
      </c>
      <c r="F55" s="130" t="s">
        <v>299</v>
      </c>
      <c r="G55" s="160" t="s">
        <v>300</v>
      </c>
      <c r="H55" s="132"/>
      <c r="I55" s="106"/>
      <c r="J55" s="107"/>
      <c r="K55" s="134">
        <f>"mailto:Sec.costarica@ieee.org"</f>
        <v>0</v>
      </c>
      <c r="L55" s="159"/>
      <c r="M55" s="110"/>
      <c r="N55" s="146"/>
      <c r="O55" s="99" t="s">
        <v>301</v>
      </c>
      <c r="P55" s="183">
        <f>"https://tec.ieee.org/conferences-workshops"</f>
        <v>0</v>
      </c>
      <c r="Q55" s="100" t="s">
        <v>54</v>
      </c>
      <c r="R55" s="128" t="s">
        <v>55</v>
      </c>
      <c r="S55" s="141"/>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row>
    <row r="56" spans="1:64" ht="54" customHeight="1">
      <c r="A56" s="87"/>
      <c r="B56" s="88"/>
      <c r="C56" s="89"/>
      <c r="D56" s="130"/>
      <c r="E56" s="130"/>
      <c r="F56" s="130"/>
      <c r="G56" s="160"/>
      <c r="H56" s="132"/>
      <c r="I56" s="106"/>
      <c r="J56" s="107"/>
      <c r="K56" s="134"/>
      <c r="L56" s="159"/>
      <c r="M56" s="110"/>
      <c r="N56" s="146"/>
      <c r="O56" s="99" t="s">
        <v>302</v>
      </c>
      <c r="P56" s="183">
        <f>"https://easychair.org/cfp/topic.cgi?tid=22717670"</f>
        <v>0</v>
      </c>
      <c r="Q56" s="100"/>
      <c r="R56" s="128"/>
      <c r="S56" s="141"/>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row>
    <row r="57" spans="1:64" ht="63" customHeight="1">
      <c r="A57" s="87" t="s">
        <v>303</v>
      </c>
      <c r="B57" s="88" t="s">
        <v>304</v>
      </c>
      <c r="C57" s="89">
        <f>"https://rebrand.ly/TeslaUnwired"</f>
        <v>0</v>
      </c>
      <c r="D57" s="90"/>
      <c r="E57" s="91" t="s">
        <v>305</v>
      </c>
      <c r="F57" s="90" t="s">
        <v>306</v>
      </c>
      <c r="G57" s="104" t="s">
        <v>307</v>
      </c>
      <c r="H57" s="105" t="s">
        <v>308</v>
      </c>
      <c r="I57" s="106"/>
      <c r="J57" s="107"/>
      <c r="K57" s="108">
        <f>"mailto:events@teslasciencecenter.org"</f>
        <v>0</v>
      </c>
      <c r="L57" s="109"/>
      <c r="M57" s="110"/>
      <c r="N57" s="207"/>
      <c r="O57" s="99" t="s">
        <v>66</v>
      </c>
      <c r="P57" s="130" t="s">
        <v>309</v>
      </c>
      <c r="Q57" s="100" t="s">
        <v>67</v>
      </c>
      <c r="R57" s="101" t="s">
        <v>68</v>
      </c>
      <c r="S57" s="141"/>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row>
    <row r="58" spans="1:64" ht="20.25" customHeight="1">
      <c r="A58" s="87"/>
      <c r="B58" s="88"/>
      <c r="C58" s="89"/>
      <c r="D58" s="90"/>
      <c r="E58" s="90"/>
      <c r="F58" s="90"/>
      <c r="G58" s="104"/>
      <c r="H58" s="208" t="s">
        <v>310</v>
      </c>
      <c r="I58" s="106"/>
      <c r="J58" s="107"/>
      <c r="K58" s="108"/>
      <c r="L58" s="109"/>
      <c r="M58" s="110"/>
      <c r="N58" s="207"/>
      <c r="O58" s="99"/>
      <c r="P58" s="130"/>
      <c r="Q58" s="100"/>
      <c r="R58" s="101"/>
      <c r="S58" s="141"/>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row>
    <row r="59" spans="1:64" ht="20.25" customHeight="1">
      <c r="A59" s="87"/>
      <c r="B59" s="88"/>
      <c r="C59" s="89"/>
      <c r="D59" s="90"/>
      <c r="E59" s="90"/>
      <c r="F59" s="90"/>
      <c r="G59" s="104"/>
      <c r="H59" s="208" t="s">
        <v>311</v>
      </c>
      <c r="I59" s="106"/>
      <c r="J59" s="107"/>
      <c r="K59" s="108"/>
      <c r="L59" s="109"/>
      <c r="M59" s="110"/>
      <c r="N59" s="207"/>
      <c r="O59" s="99"/>
      <c r="P59" s="130"/>
      <c r="Q59" s="100"/>
      <c r="R59" s="101"/>
      <c r="S59" s="141"/>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row>
    <row r="60" spans="1:64" ht="33" customHeight="1">
      <c r="A60" s="87" t="s">
        <v>312</v>
      </c>
      <c r="B60" s="88" t="s">
        <v>313</v>
      </c>
      <c r="C60" s="89">
        <f>"http://www.trb.org/Main/Blurbs/180288.aspx"</f>
        <v>0</v>
      </c>
      <c r="D60" s="130"/>
      <c r="E60" s="209" t="s">
        <v>314</v>
      </c>
      <c r="F60" s="130" t="s">
        <v>315</v>
      </c>
      <c r="G60" s="104" t="s">
        <v>316</v>
      </c>
      <c r="H60" s="186" t="s">
        <v>317</v>
      </c>
      <c r="I60" s="106"/>
      <c r="J60" s="107"/>
      <c r="K60" s="134">
        <f>"mailto:RGillum@nas.edu"</f>
        <v>0</v>
      </c>
      <c r="L60" s="210" t="s">
        <v>318</v>
      </c>
      <c r="M60" s="110"/>
      <c r="N60" s="146"/>
      <c r="O60" s="99" t="s">
        <v>125</v>
      </c>
      <c r="P60" s="130" t="s">
        <v>319</v>
      </c>
      <c r="Q60" s="100" t="s">
        <v>54</v>
      </c>
      <c r="R60" s="128" t="s">
        <v>55</v>
      </c>
      <c r="S60" s="141"/>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row>
    <row r="61" spans="1:64" ht="32.25" customHeight="1">
      <c r="A61" s="87"/>
      <c r="B61" s="88"/>
      <c r="C61" s="89"/>
      <c r="D61" s="130"/>
      <c r="E61" s="130"/>
      <c r="F61" s="130"/>
      <c r="G61" s="104"/>
      <c r="H61" s="186" t="s">
        <v>320</v>
      </c>
      <c r="I61" s="106"/>
      <c r="J61" s="107"/>
      <c r="K61" s="134"/>
      <c r="L61" s="210"/>
      <c r="M61" s="110"/>
      <c r="N61" s="146"/>
      <c r="O61" s="99"/>
      <c r="P61" s="130"/>
      <c r="Q61" s="100"/>
      <c r="R61" s="128"/>
      <c r="S61" s="141"/>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row>
    <row r="62" spans="1:64" ht="18.75" customHeight="1">
      <c r="A62" s="87"/>
      <c r="B62" s="88"/>
      <c r="C62" s="89"/>
      <c r="D62" s="130"/>
      <c r="E62" s="130"/>
      <c r="F62" s="130"/>
      <c r="G62" s="104"/>
      <c r="H62" s="186" t="s">
        <v>321</v>
      </c>
      <c r="I62" s="106"/>
      <c r="J62" s="107"/>
      <c r="K62" s="134"/>
      <c r="L62" s="210"/>
      <c r="M62" s="110"/>
      <c r="N62" s="146"/>
      <c r="O62" s="99"/>
      <c r="P62" s="130"/>
      <c r="Q62" s="100"/>
      <c r="R62" s="128"/>
      <c r="S62" s="141"/>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row>
    <row r="63" spans="1:64" ht="27" customHeight="1">
      <c r="A63" s="87"/>
      <c r="B63" s="88"/>
      <c r="C63" s="89"/>
      <c r="D63" s="130"/>
      <c r="E63" s="130"/>
      <c r="F63" s="130"/>
      <c r="G63" s="104"/>
      <c r="H63" s="132" t="s">
        <v>322</v>
      </c>
      <c r="I63" s="106"/>
      <c r="J63" s="107"/>
      <c r="K63" s="134"/>
      <c r="L63" s="210"/>
      <c r="M63" s="110"/>
      <c r="N63" s="146"/>
      <c r="O63" s="99"/>
      <c r="P63" s="130"/>
      <c r="Q63" s="100"/>
      <c r="R63" s="128"/>
      <c r="S63" s="141"/>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row>
    <row r="64" spans="1:19" s="86" customFormat="1" ht="102" customHeight="1">
      <c r="A64" s="87" t="s">
        <v>281</v>
      </c>
      <c r="B64" s="88" t="s">
        <v>282</v>
      </c>
      <c r="C64" s="89">
        <f>"https://teslasciencecenter.z2systems.com/np/clients/teslasciencecenter/viewOnlineEmail.jsp?emailId=f9cfdbd6b49010cdc20ad2fbf577b322fm3646682f9c"</f>
        <v>0</v>
      </c>
      <c r="D64" s="90" t="s">
        <v>323</v>
      </c>
      <c r="E64" s="91" t="s">
        <v>324</v>
      </c>
      <c r="F64" s="90" t="s">
        <v>285</v>
      </c>
      <c r="G64" s="178" t="s">
        <v>325</v>
      </c>
      <c r="H64" s="105" t="s">
        <v>326</v>
      </c>
      <c r="I64" s="169"/>
      <c r="J64" s="170"/>
      <c r="K64" s="179"/>
      <c r="L64" s="159">
        <f>"Registration:  https://pos.li/2f8kht?fbclid=IwAR0x-p4P_jtA8TEb9HmaEXrvaQoYr6udeoe_bNoHRaAR9prk8Susz0Cg"</f>
        <v>0</v>
      </c>
      <c r="M64" s="110"/>
      <c r="N64" s="146"/>
      <c r="O64" s="99" t="s">
        <v>66</v>
      </c>
      <c r="P64" s="183">
        <f>"https://teslasciencecenter.org/events/"</f>
        <v>0</v>
      </c>
      <c r="Q64" s="100" t="s">
        <v>67</v>
      </c>
      <c r="R64" s="101" t="s">
        <v>68</v>
      </c>
      <c r="S64" s="141"/>
    </row>
    <row r="65" spans="1:64" s="86" customFormat="1" ht="79.5" customHeight="1">
      <c r="A65" s="102" t="s">
        <v>327</v>
      </c>
      <c r="B65" s="88" t="s">
        <v>328</v>
      </c>
      <c r="C65" s="89">
        <f>"https://www.borneosoft.com/form/bTh95T/0/eis-measurements-for-energy-storage-what-how-and-why"</f>
        <v>0</v>
      </c>
      <c r="D65" s="183"/>
      <c r="E65" s="91" t="s">
        <v>329</v>
      </c>
      <c r="F65" s="183" t="s">
        <v>266</v>
      </c>
      <c r="G65" s="104" t="s">
        <v>330</v>
      </c>
      <c r="H65" s="161" t="s">
        <v>268</v>
      </c>
      <c r="I65" s="162"/>
      <c r="J65" s="163"/>
      <c r="K65" s="144"/>
      <c r="L65" s="159" t="s">
        <v>269</v>
      </c>
      <c r="M65" s="110"/>
      <c r="N65" s="146"/>
      <c r="O65" s="99" t="s">
        <v>145</v>
      </c>
      <c r="P65" s="183">
        <f>"https://plugvolt.com/webinars/"</f>
        <v>0</v>
      </c>
      <c r="Q65" s="100" t="s">
        <v>54</v>
      </c>
      <c r="R65" s="128" t="s">
        <v>55</v>
      </c>
      <c r="S65" s="85"/>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row>
    <row r="66" spans="1:19" s="86" customFormat="1" ht="102" customHeight="1">
      <c r="A66" s="87" t="s">
        <v>281</v>
      </c>
      <c r="B66" s="88" t="s">
        <v>282</v>
      </c>
      <c r="C66" s="89">
        <f>"https://teslasciencecenter.org/events/tesla-winter-tech-art-camp/"</f>
        <v>0</v>
      </c>
      <c r="D66" s="90" t="s">
        <v>323</v>
      </c>
      <c r="E66" s="91" t="s">
        <v>331</v>
      </c>
      <c r="F66" s="90" t="s">
        <v>285</v>
      </c>
      <c r="G66" s="178" t="s">
        <v>332</v>
      </c>
      <c r="H66" s="105" t="s">
        <v>326</v>
      </c>
      <c r="I66" s="169"/>
      <c r="J66" s="170"/>
      <c r="K66" s="179"/>
      <c r="L66" s="159">
        <f>"Registration:  https://teslasciencecenter.z2systems.com/np/clients/teslasciencecenter/eventRegistration.jsp?event=354&amp;"</f>
        <v>0</v>
      </c>
      <c r="M66" s="110" t="s">
        <v>333</v>
      </c>
      <c r="N66" s="146"/>
      <c r="O66" s="99" t="s">
        <v>66</v>
      </c>
      <c r="P66" s="183">
        <f>"https://teslasciencecenter.org/events/"</f>
        <v>0</v>
      </c>
      <c r="Q66" s="100" t="s">
        <v>67</v>
      </c>
      <c r="R66" s="101" t="s">
        <v>68</v>
      </c>
      <c r="S66" s="141"/>
    </row>
    <row r="67" spans="1:64" ht="69.75" customHeight="1">
      <c r="A67" s="147" t="s">
        <v>334</v>
      </c>
      <c r="B67" s="113" t="s">
        <v>335</v>
      </c>
      <c r="C67" s="143" t="s">
        <v>336</v>
      </c>
      <c r="D67" s="148" t="s">
        <v>337</v>
      </c>
      <c r="E67" s="116" t="s">
        <v>338</v>
      </c>
      <c r="F67" s="148"/>
      <c r="G67" s="117" t="s">
        <v>339</v>
      </c>
      <c r="H67" s="211"/>
      <c r="I67" s="151"/>
      <c r="J67" s="152"/>
      <c r="K67" s="153"/>
      <c r="L67" s="212"/>
      <c r="M67" s="123"/>
      <c r="N67" s="155"/>
      <c r="O67" s="125" t="s">
        <v>187</v>
      </c>
      <c r="P67" s="148" t="s">
        <v>340</v>
      </c>
      <c r="Q67" s="126" t="s">
        <v>54</v>
      </c>
      <c r="R67" s="213" t="s">
        <v>55</v>
      </c>
      <c r="S67" s="85"/>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row>
    <row r="68" spans="1:64" ht="78" customHeight="1">
      <c r="A68" s="112" t="s">
        <v>341</v>
      </c>
      <c r="B68" s="113" t="s">
        <v>342</v>
      </c>
      <c r="C68" s="143">
        <f>"https://mobility21.cmu.edu/events/the-national-mobility-summit/the-third-annual-national-mobility-summit-2020/"</f>
        <v>0</v>
      </c>
      <c r="D68" s="115" t="s">
        <v>122</v>
      </c>
      <c r="E68" s="116" t="s">
        <v>343</v>
      </c>
      <c r="F68" s="115" t="s">
        <v>344</v>
      </c>
      <c r="G68" s="117" t="s">
        <v>345</v>
      </c>
      <c r="H68" s="214" t="s">
        <v>346</v>
      </c>
      <c r="I68" s="215" t="s">
        <v>347</v>
      </c>
      <c r="J68" s="120"/>
      <c r="K68" s="121">
        <f>"mailto:LKSchweyer@cmu.edu"</f>
        <v>0</v>
      </c>
      <c r="L68" s="212"/>
      <c r="M68" s="123"/>
      <c r="N68" s="155"/>
      <c r="O68" s="125" t="s">
        <v>348</v>
      </c>
      <c r="P68" s="148">
        <f>"https://www.transportation.gov/content/university-transportation-centers"</f>
        <v>0</v>
      </c>
      <c r="Q68" s="126" t="s">
        <v>349</v>
      </c>
      <c r="R68" s="127" t="s">
        <v>86</v>
      </c>
      <c r="S68" s="141"/>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row>
    <row r="69" spans="1:64" ht="78" customHeight="1">
      <c r="A69" s="112" t="s">
        <v>350</v>
      </c>
      <c r="B69" s="113" t="s">
        <v>351</v>
      </c>
      <c r="C69" s="143">
        <f>"https://spring.smartcitiesconnect.org/"</f>
        <v>0</v>
      </c>
      <c r="D69" s="115" t="s">
        <v>352</v>
      </c>
      <c r="E69" s="116" t="s">
        <v>353</v>
      </c>
      <c r="F69" s="115" t="s">
        <v>354</v>
      </c>
      <c r="G69" s="117" t="s">
        <v>355</v>
      </c>
      <c r="H69" s="214"/>
      <c r="I69" s="215"/>
      <c r="J69" s="120"/>
      <c r="K69" s="121"/>
      <c r="L69" s="212">
        <f>"Smart Cities Startup Challenge:  https://spring.smartcitiesconnect.org/innovation_challenge.html"</f>
        <v>0</v>
      </c>
      <c r="M69" s="123">
        <f>"https://spring.smartcitiesconnect.org/innovation/form.html"</f>
        <v>0</v>
      </c>
      <c r="N69" s="155" t="s">
        <v>356</v>
      </c>
      <c r="O69" s="125" t="s">
        <v>357</v>
      </c>
      <c r="P69" s="148">
        <f>"https://techconnect.org/events/"</f>
        <v>0</v>
      </c>
      <c r="Q69" s="126" t="s">
        <v>54</v>
      </c>
      <c r="R69" s="213" t="s">
        <v>55</v>
      </c>
      <c r="S69" s="141"/>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row>
    <row r="70" spans="1:18" ht="90.75" customHeight="1">
      <c r="A70" s="112" t="s">
        <v>358</v>
      </c>
      <c r="B70" s="148" t="s">
        <v>359</v>
      </c>
      <c r="C70" s="148">
        <f>"https://tmt.knect365.com/connected-vehicles/"</f>
        <v>0</v>
      </c>
      <c r="D70" s="148" t="s">
        <v>360</v>
      </c>
      <c r="E70" s="116" t="s">
        <v>353</v>
      </c>
      <c r="F70" s="148" t="s">
        <v>361</v>
      </c>
      <c r="G70" s="216" t="s">
        <v>362</v>
      </c>
      <c r="H70" s="217">
        <f>"Sign up to indicate interest, and for updates:  https://get.knect365.com/connected-vehicles/2020-pre-registration/"</f>
        <v>0</v>
      </c>
      <c r="I70" s="218">
        <f>"Agenda:  https://tmt.knect365.com/connected-vehicles/agenda"</f>
        <v>0</v>
      </c>
      <c r="J70" s="219">
        <f>"Colocated with &amp;ldquo;Internet of Things World&amp;rdquo;:  https://tmt.knect365.com/iot-world/"</f>
        <v>0</v>
      </c>
      <c r="K70" s="220">
        <f>"https://tmt.knect365.com/connected-vehicles/contact"</f>
        <v>0</v>
      </c>
      <c r="L70" s="212">
        <f>"Speaking Opportunities  Catherine Friar"</f>
        <v>0</v>
      </c>
      <c r="M70" s="123">
        <f>"mailto:Catherine.C.Friar@KNect365.com                     T: +44 020701 77604"</f>
        <v>0</v>
      </c>
      <c r="N70" s="221" t="s">
        <v>363</v>
      </c>
      <c r="O70" s="222" t="s">
        <v>53</v>
      </c>
      <c r="P70" s="148" t="s">
        <v>364</v>
      </c>
      <c r="Q70" s="223" t="s">
        <v>365</v>
      </c>
      <c r="R70" s="224" t="s">
        <v>55</v>
      </c>
    </row>
    <row r="71" spans="1:18" ht="89.25" customHeight="1">
      <c r="A71" s="112"/>
      <c r="B71" s="148"/>
      <c r="C71" s="148"/>
      <c r="D71" s="148"/>
      <c r="E71" s="116"/>
      <c r="F71" s="148"/>
      <c r="G71" s="216"/>
      <c r="H71" s="217"/>
      <c r="I71" s="218">
        <f>"Brochure:  https://get.knect365.com/connected-vehicles/2020-event-brochure/"</f>
        <v>0</v>
      </c>
      <c r="J71" s="219"/>
      <c r="K71" s="220"/>
      <c r="L71" s="225">
        <f>"https://get.knect365.com/connA1274ected-vehicles/2020-speaking-proposal/"</f>
        <v>0</v>
      </c>
      <c r="M71" s="226"/>
      <c r="N71" s="221" t="s">
        <v>366</v>
      </c>
      <c r="O71" s="222"/>
      <c r="P71" s="148"/>
      <c r="Q71" s="223"/>
      <c r="R71" s="224"/>
    </row>
    <row r="72" spans="1:64" ht="42" customHeight="1">
      <c r="A72" s="112" t="s">
        <v>367</v>
      </c>
      <c r="B72" s="148" t="s">
        <v>368</v>
      </c>
      <c r="C72" s="115">
        <f>"https://zeroemissionbusconference.eu/"</f>
        <v>0</v>
      </c>
      <c r="D72" s="148" t="s">
        <v>369</v>
      </c>
      <c r="E72" s="116" t="s">
        <v>370</v>
      </c>
      <c r="F72" s="148" t="s">
        <v>371</v>
      </c>
      <c r="G72" s="216" t="s">
        <v>372</v>
      </c>
      <c r="H72" s="217"/>
      <c r="I72" s="227"/>
      <c r="J72" s="219"/>
      <c r="K72" s="220"/>
      <c r="L72" s="212"/>
      <c r="M72" s="228"/>
      <c r="N72" s="229"/>
      <c r="O72" s="222" t="s">
        <v>373</v>
      </c>
      <c r="P72" s="148">
        <f>"https://avere.org/calendar/"</f>
        <v>0</v>
      </c>
      <c r="Q72" s="223" t="s">
        <v>54</v>
      </c>
      <c r="R72" s="224" t="s">
        <v>55</v>
      </c>
      <c r="S72" s="141"/>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row>
    <row r="73" spans="1:64" ht="65.25" customHeight="1">
      <c r="A73" s="112"/>
      <c r="B73" s="148"/>
      <c r="C73" s="115">
        <f>"alt:  https://avere.org/event/zeb-zero-emission-bus-conference-2020/?instance_id=43"</f>
        <v>0</v>
      </c>
      <c r="D73" s="148"/>
      <c r="E73" s="148"/>
      <c r="F73" s="148"/>
      <c r="G73" s="216"/>
      <c r="H73" s="217"/>
      <c r="I73" s="227"/>
      <c r="J73" s="219"/>
      <c r="K73" s="220"/>
      <c r="L73" s="212"/>
      <c r="M73" s="228"/>
      <c r="N73" s="229"/>
      <c r="O73" s="222"/>
      <c r="P73" s="148"/>
      <c r="Q73" s="223"/>
      <c r="R73" s="224"/>
      <c r="S73" s="141"/>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row>
    <row r="74" spans="1:64" s="86" customFormat="1" ht="79.5" customHeight="1">
      <c r="A74" s="102" t="s">
        <v>374</v>
      </c>
      <c r="B74" s="88" t="s">
        <v>375</v>
      </c>
      <c r="C74" s="89">
        <f>"https://www.borneosoft.com/form/bTh95T/0/eis-measurements-for-energy-storage-what-how-and-why"</f>
        <v>0</v>
      </c>
      <c r="D74" s="183"/>
      <c r="E74" s="91" t="s">
        <v>376</v>
      </c>
      <c r="F74" s="183" t="s">
        <v>377</v>
      </c>
      <c r="G74" s="104" t="s">
        <v>378</v>
      </c>
      <c r="H74" s="161" t="s">
        <v>268</v>
      </c>
      <c r="I74" s="162"/>
      <c r="J74" s="163"/>
      <c r="K74" s="144"/>
      <c r="L74" s="159" t="s">
        <v>379</v>
      </c>
      <c r="M74" s="110"/>
      <c r="N74" s="146"/>
      <c r="O74" s="99" t="s">
        <v>145</v>
      </c>
      <c r="P74" s="183">
        <f>"https://plugvolt.com/webinars/"</f>
        <v>0</v>
      </c>
      <c r="Q74" s="100" t="s">
        <v>54</v>
      </c>
      <c r="R74" s="128" t="s">
        <v>55</v>
      </c>
      <c r="S74" s="85"/>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row>
    <row r="75" spans="1:64" s="86" customFormat="1" ht="52.5" customHeight="1">
      <c r="A75" s="87" t="s">
        <v>380</v>
      </c>
      <c r="B75" s="88" t="s">
        <v>381</v>
      </c>
      <c r="C75" s="89">
        <f>"https://teslasciencecenter.z2systems.com/np/clients/teslasciencecenter/viewOnlineEmail.jsp?emailId=a1a25c74026646c18078bca03ae934d7am6039613a1a"</f>
        <v>0</v>
      </c>
      <c r="D75" s="90"/>
      <c r="E75" s="91" t="s">
        <v>382</v>
      </c>
      <c r="F75" s="90" t="s">
        <v>383</v>
      </c>
      <c r="G75" s="160" t="s">
        <v>384</v>
      </c>
      <c r="H75" s="105" t="s">
        <v>385</v>
      </c>
      <c r="I75" s="106"/>
      <c r="J75" s="107" t="s">
        <v>386</v>
      </c>
      <c r="K75" s="134">
        <f>"mailto:events@teslasciencecenter.org"</f>
        <v>0</v>
      </c>
      <c r="L75" s="159"/>
      <c r="M75" s="109"/>
      <c r="N75" s="207"/>
      <c r="O75" s="99" t="s">
        <v>66</v>
      </c>
      <c r="P75" s="130" t="s">
        <v>309</v>
      </c>
      <c r="Q75" s="100" t="s">
        <v>67</v>
      </c>
      <c r="R75" s="101" t="s">
        <v>68</v>
      </c>
      <c r="S75" s="85"/>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row>
    <row r="76" spans="1:64" s="86" customFormat="1" ht="52.5" customHeight="1">
      <c r="A76" s="87"/>
      <c r="B76" s="88"/>
      <c r="C76" s="89"/>
      <c r="D76" s="90"/>
      <c r="E76" s="91"/>
      <c r="F76" s="91"/>
      <c r="G76" s="160"/>
      <c r="H76" s="208" t="s">
        <v>310</v>
      </c>
      <c r="I76" s="106"/>
      <c r="J76" s="107"/>
      <c r="K76" s="134"/>
      <c r="L76" s="159"/>
      <c r="M76" s="109"/>
      <c r="N76" s="207"/>
      <c r="O76" s="99"/>
      <c r="P76" s="130"/>
      <c r="Q76" s="100"/>
      <c r="R76" s="101"/>
      <c r="S76" s="85"/>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row>
    <row r="77" spans="1:64" ht="60.75" customHeight="1">
      <c r="A77" s="112" t="s">
        <v>387</v>
      </c>
      <c r="B77" s="113" t="s">
        <v>388</v>
      </c>
      <c r="C77" s="143">
        <f>"https://www.sae.org/learn/content/c1867/"</f>
        <v>0</v>
      </c>
      <c r="D77" s="115" t="s">
        <v>389</v>
      </c>
      <c r="E77" s="116" t="s">
        <v>390</v>
      </c>
      <c r="F77" s="115" t="s">
        <v>391</v>
      </c>
      <c r="G77" s="230" t="s">
        <v>392</v>
      </c>
      <c r="H77" s="118" t="s">
        <v>393</v>
      </c>
      <c r="I77" s="231"/>
      <c r="J77" s="232"/>
      <c r="K77" s="233"/>
      <c r="L77" s="154" t="s">
        <v>394</v>
      </c>
      <c r="M77" s="234" t="s">
        <v>395</v>
      </c>
      <c r="N77" s="235"/>
      <c r="O77" s="236" t="s">
        <v>396</v>
      </c>
      <c r="P77" s="237" t="s">
        <v>397</v>
      </c>
      <c r="Q77" s="238" t="s">
        <v>54</v>
      </c>
      <c r="R77" s="213" t="s">
        <v>55</v>
      </c>
      <c r="S77" s="141"/>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row>
    <row r="78" spans="1:64" ht="60.75" customHeight="1">
      <c r="A78" s="112" t="s">
        <v>398</v>
      </c>
      <c r="B78" s="113" t="s">
        <v>399</v>
      </c>
      <c r="C78" s="143">
        <f>"http://www.gtsummitexpo.socialenterprises.net/"</f>
        <v>0</v>
      </c>
      <c r="D78" s="148" t="s">
        <v>400</v>
      </c>
      <c r="E78" s="239" t="s">
        <v>401</v>
      </c>
      <c r="F78" s="148" t="s">
        <v>402</v>
      </c>
      <c r="G78" s="240" t="s">
        <v>403</v>
      </c>
      <c r="H78" s="217"/>
      <c r="I78" s="119"/>
      <c r="J78" s="219"/>
      <c r="K78" s="241">
        <f>"http://www.gtsummitexpo.socialenterprises.net/contact/"</f>
        <v>0</v>
      </c>
      <c r="L78" s="159">
        <f>"Call for Special Session and Speaker Proposals:  http://www.gtsummitexpo.socialenterprises.net/downloads/GTSE20_CFP.pdf"</f>
        <v>0</v>
      </c>
      <c r="M78" s="97"/>
      <c r="N78" s="146" t="s">
        <v>404</v>
      </c>
      <c r="O78" s="125" t="s">
        <v>405</v>
      </c>
      <c r="P78" s="148" t="s">
        <v>406</v>
      </c>
      <c r="Q78" s="126" t="s">
        <v>85</v>
      </c>
      <c r="R78" s="127" t="s">
        <v>86</v>
      </c>
      <c r="S78" s="141"/>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row>
    <row r="79" spans="1:64" ht="60.75" customHeight="1">
      <c r="A79" s="112"/>
      <c r="B79" s="113"/>
      <c r="C79" s="143"/>
      <c r="D79" s="148"/>
      <c r="E79" s="148"/>
      <c r="F79" s="148"/>
      <c r="G79" s="240"/>
      <c r="H79" s="217"/>
      <c r="I79" s="119"/>
      <c r="J79" s="219"/>
      <c r="K79" s="241"/>
      <c r="L79" s="159"/>
      <c r="M79" s="97"/>
      <c r="N79" s="146"/>
      <c r="O79" s="125"/>
      <c r="P79" s="148"/>
      <c r="Q79" s="126"/>
      <c r="R79" s="127"/>
      <c r="S79" s="141"/>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row>
    <row r="80" spans="1:19" s="86" customFormat="1" ht="33" customHeight="1">
      <c r="A80" s="87" t="s">
        <v>407</v>
      </c>
      <c r="B80" s="88" t="s">
        <v>408</v>
      </c>
      <c r="C80" s="89">
        <f>"http://www.trb.org/Main/Blurbs/180370.aspx"</f>
        <v>0</v>
      </c>
      <c r="D80" s="130"/>
      <c r="E80" s="209" t="s">
        <v>409</v>
      </c>
      <c r="F80" s="130" t="s">
        <v>410</v>
      </c>
      <c r="G80" s="160" t="s">
        <v>411</v>
      </c>
      <c r="H80" s="186" t="s">
        <v>412</v>
      </c>
      <c r="I80" s="106"/>
      <c r="J80" s="107"/>
      <c r="K80" s="134">
        <f>"Registration questions:  mailto:RGillum@nas.edu"</f>
        <v>0</v>
      </c>
      <c r="L80" s="210"/>
      <c r="M80" s="110"/>
      <c r="N80" s="146"/>
      <c r="O80" s="99" t="s">
        <v>125</v>
      </c>
      <c r="P80" s="130" t="s">
        <v>319</v>
      </c>
      <c r="Q80" s="100" t="s">
        <v>54</v>
      </c>
      <c r="R80" s="128" t="s">
        <v>55</v>
      </c>
      <c r="S80" s="141"/>
    </row>
    <row r="81" spans="1:19" s="86" customFormat="1" ht="27" customHeight="1">
      <c r="A81" s="87"/>
      <c r="B81" s="88"/>
      <c r="C81" s="89"/>
      <c r="D81" s="130"/>
      <c r="E81" s="130"/>
      <c r="F81" s="130"/>
      <c r="G81" s="160"/>
      <c r="H81" s="132" t="s">
        <v>413</v>
      </c>
      <c r="I81" s="106"/>
      <c r="J81" s="107"/>
      <c r="K81" s="134"/>
      <c r="L81" s="210"/>
      <c r="M81" s="110"/>
      <c r="N81" s="146"/>
      <c r="O81" s="99"/>
      <c r="P81" s="130"/>
      <c r="Q81" s="100"/>
      <c r="R81" s="128"/>
      <c r="S81" s="141"/>
    </row>
    <row r="82" spans="1:19" s="86" customFormat="1" ht="43.5" customHeight="1">
      <c r="A82" s="87" t="s">
        <v>414</v>
      </c>
      <c r="B82" s="88" t="s">
        <v>415</v>
      </c>
      <c r="C82" s="89">
        <f>"https://www.act-news.com/webinar/webinar-the-facts-on-fuel-cell-electric-trucks-part-1/"</f>
        <v>0</v>
      </c>
      <c r="D82" s="130"/>
      <c r="E82" s="209" t="s">
        <v>416</v>
      </c>
      <c r="F82" s="130" t="s">
        <v>417</v>
      </c>
      <c r="G82" s="104" t="s">
        <v>418</v>
      </c>
      <c r="H82" s="132" t="s">
        <v>419</v>
      </c>
      <c r="I82" s="106"/>
      <c r="J82" s="107"/>
      <c r="K82" s="108"/>
      <c r="L82" s="210"/>
      <c r="M82" s="110"/>
      <c r="N82" s="146"/>
      <c r="O82" s="99" t="s">
        <v>420</v>
      </c>
      <c r="P82" s="130">
        <f>"https://www.act-news.com/webinars/"</f>
        <v>0</v>
      </c>
      <c r="Q82" s="100" t="s">
        <v>54</v>
      </c>
      <c r="R82" s="128" t="s">
        <v>55</v>
      </c>
      <c r="S82" s="141"/>
    </row>
    <row r="83" spans="1:19" s="243" customFormat="1" ht="27" customHeight="1">
      <c r="A83" s="87"/>
      <c r="B83" s="88"/>
      <c r="C83" s="89"/>
      <c r="D83" s="130"/>
      <c r="E83" s="130"/>
      <c r="F83" s="130"/>
      <c r="G83" s="104"/>
      <c r="H83" s="132" t="s">
        <v>421</v>
      </c>
      <c r="I83" s="106"/>
      <c r="J83" s="107"/>
      <c r="K83" s="108"/>
      <c r="L83" s="210"/>
      <c r="M83" s="110"/>
      <c r="N83" s="146"/>
      <c r="O83" s="99"/>
      <c r="P83" s="130"/>
      <c r="Q83" s="100"/>
      <c r="R83" s="128"/>
      <c r="S83" s="242"/>
    </row>
    <row r="84" spans="1:64" ht="27" customHeight="1">
      <c r="A84" s="87"/>
      <c r="B84" s="88"/>
      <c r="C84" s="89"/>
      <c r="D84" s="130"/>
      <c r="E84" s="130"/>
      <c r="F84" s="130"/>
      <c r="G84" s="104"/>
      <c r="H84" s="132" t="s">
        <v>422</v>
      </c>
      <c r="I84" s="106"/>
      <c r="J84" s="107"/>
      <c r="K84" s="108"/>
      <c r="L84" s="210"/>
      <c r="M84" s="110"/>
      <c r="N84" s="146"/>
      <c r="O84" s="125" t="s">
        <v>423</v>
      </c>
      <c r="P84" s="244">
        <f>"https://www.californiahydrogen.org/"</f>
        <v>0</v>
      </c>
      <c r="Q84" s="100"/>
      <c r="R84" s="128"/>
      <c r="S84" s="141"/>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row>
    <row r="85" spans="1:64" ht="27" customHeight="1">
      <c r="A85" s="87"/>
      <c r="B85" s="88"/>
      <c r="C85" s="89"/>
      <c r="D85" s="130"/>
      <c r="E85" s="130"/>
      <c r="F85" s="130"/>
      <c r="G85" s="104"/>
      <c r="H85" s="132" t="s">
        <v>424</v>
      </c>
      <c r="I85" s="106"/>
      <c r="J85" s="107"/>
      <c r="K85" s="108"/>
      <c r="L85" s="210"/>
      <c r="M85" s="110"/>
      <c r="N85" s="146"/>
      <c r="O85" s="125"/>
      <c r="P85" s="244"/>
      <c r="Q85" s="100"/>
      <c r="R85" s="128"/>
      <c r="S85" s="141"/>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row>
    <row r="86" spans="1:64" ht="27" customHeight="1">
      <c r="A86" s="87"/>
      <c r="B86" s="88"/>
      <c r="C86" s="89"/>
      <c r="D86" s="130"/>
      <c r="E86" s="130"/>
      <c r="F86" s="130"/>
      <c r="G86" s="104"/>
      <c r="H86" s="132" t="s">
        <v>425</v>
      </c>
      <c r="I86" s="106"/>
      <c r="J86" s="107"/>
      <c r="K86" s="108"/>
      <c r="L86" s="210"/>
      <c r="M86" s="110"/>
      <c r="N86" s="146"/>
      <c r="O86" s="125"/>
      <c r="P86" s="244"/>
      <c r="Q86" s="100"/>
      <c r="R86" s="128"/>
      <c r="S86" s="141"/>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row>
    <row r="87" spans="1:64" ht="36" customHeight="1">
      <c r="A87" s="148" t="s">
        <v>426</v>
      </c>
      <c r="B87" s="148" t="s">
        <v>427</v>
      </c>
      <c r="C87" s="148">
        <f>"https://www.sae.org/learn/content/c1868/"</f>
        <v>0</v>
      </c>
      <c r="D87" s="148" t="s">
        <v>389</v>
      </c>
      <c r="E87" s="239" t="s">
        <v>428</v>
      </c>
      <c r="F87" s="148" t="s">
        <v>429</v>
      </c>
      <c r="G87" s="245" t="s">
        <v>430</v>
      </c>
      <c r="H87" s="235" t="s">
        <v>431</v>
      </c>
      <c r="I87" s="227"/>
      <c r="J87" s="219"/>
      <c r="K87" s="246"/>
      <c r="L87" s="212" t="s">
        <v>432</v>
      </c>
      <c r="M87" s="123" t="s">
        <v>433</v>
      </c>
      <c r="N87" s="247"/>
      <c r="O87" s="125" t="s">
        <v>396</v>
      </c>
      <c r="P87" s="148">
        <f>"https://www.sae.org/learn/professional-development"</f>
        <v>0</v>
      </c>
      <c r="Q87" s="248" t="s">
        <v>54</v>
      </c>
      <c r="R87" s="213" t="s">
        <v>55</v>
      </c>
      <c r="S87" s="85"/>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row>
    <row r="88" spans="1:64" ht="26.25" customHeight="1">
      <c r="A88" s="148"/>
      <c r="B88" s="148"/>
      <c r="C88" s="148"/>
      <c r="D88" s="148"/>
      <c r="E88" s="239"/>
      <c r="F88" s="148"/>
      <c r="G88" s="245"/>
      <c r="H88" s="234" t="s">
        <v>434</v>
      </c>
      <c r="I88" s="227"/>
      <c r="J88" s="219"/>
      <c r="K88" s="246"/>
      <c r="L88" s="212"/>
      <c r="M88" s="123"/>
      <c r="N88" s="247"/>
      <c r="O88" s="125"/>
      <c r="P88" s="125"/>
      <c r="Q88" s="125"/>
      <c r="R88" s="213"/>
      <c r="S88" s="85"/>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row>
    <row r="89" spans="1:64" s="86" customFormat="1" ht="52.5" customHeight="1">
      <c r="A89" s="87" t="s">
        <v>435</v>
      </c>
      <c r="B89" s="88" t="s">
        <v>436</v>
      </c>
      <c r="C89" s="89">
        <f>"https://teslasciencecenter.z2systems.com/np/clients/teslasciencecenter/viewOnlineEmail.jsp?emailId=ba04ef157bdf9da9cd83ec6332fcba99bm8633923ba0"</f>
        <v>0</v>
      </c>
      <c r="D89" s="90"/>
      <c r="E89" s="91" t="s">
        <v>437</v>
      </c>
      <c r="F89" s="90" t="s">
        <v>438</v>
      </c>
      <c r="G89" s="160" t="s">
        <v>439</v>
      </c>
      <c r="H89" s="105" t="s">
        <v>440</v>
      </c>
      <c r="I89" s="106"/>
      <c r="J89" s="107" t="s">
        <v>386</v>
      </c>
      <c r="K89" s="134">
        <f>"mailto:events@teslasciencecenter.org"</f>
        <v>0</v>
      </c>
      <c r="L89" s="109"/>
      <c r="M89" s="110"/>
      <c r="N89" s="207"/>
      <c r="O89" s="99" t="s">
        <v>66</v>
      </c>
      <c r="P89" s="130" t="s">
        <v>309</v>
      </c>
      <c r="Q89" s="100" t="s">
        <v>67</v>
      </c>
      <c r="R89" s="101" t="s">
        <v>68</v>
      </c>
      <c r="S89" s="85"/>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row>
    <row r="90" spans="1:64" s="86" customFormat="1" ht="52.5" customHeight="1">
      <c r="A90" s="87"/>
      <c r="B90" s="88"/>
      <c r="C90" s="89"/>
      <c r="D90" s="90"/>
      <c r="E90" s="91"/>
      <c r="F90" s="91"/>
      <c r="G90" s="160"/>
      <c r="H90" s="208" t="s">
        <v>310</v>
      </c>
      <c r="I90" s="106"/>
      <c r="J90" s="107"/>
      <c r="K90" s="134"/>
      <c r="L90" s="109"/>
      <c r="M90" s="110"/>
      <c r="N90" s="207"/>
      <c r="O90" s="99"/>
      <c r="P90" s="130"/>
      <c r="Q90" s="100"/>
      <c r="R90" s="101"/>
      <c r="S90" s="85"/>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row>
    <row r="91" spans="1:64" s="86" customFormat="1" ht="19.5" customHeight="1">
      <c r="A91" s="130" t="s">
        <v>441</v>
      </c>
      <c r="B91" s="130" t="s">
        <v>442</v>
      </c>
      <c r="C91" s="130">
        <f>"http://www.trb.org/Main/Blurbs/180397.aspx"</f>
        <v>0</v>
      </c>
      <c r="D91" s="130"/>
      <c r="E91" s="209" t="s">
        <v>443</v>
      </c>
      <c r="F91" s="130" t="s">
        <v>444</v>
      </c>
      <c r="G91" s="249" t="s">
        <v>445</v>
      </c>
      <c r="H91" s="173" t="s">
        <v>446</v>
      </c>
      <c r="I91" s="250"/>
      <c r="J91" s="198"/>
      <c r="K91" s="251" t="s">
        <v>447</v>
      </c>
      <c r="L91" s="96">
        <f>"Registration:  https://webinar.mytrb.org/Home/Login?WebinarID=1362  (You MUST register before start of Webinar)"</f>
        <v>0</v>
      </c>
      <c r="M91" s="110" t="s">
        <v>448</v>
      </c>
      <c r="N91" s="252"/>
      <c r="O91" s="99" t="s">
        <v>125</v>
      </c>
      <c r="P91" s="99" t="s">
        <v>319</v>
      </c>
      <c r="Q91" s="253" t="s">
        <v>54</v>
      </c>
      <c r="R91" s="254" t="s">
        <v>55</v>
      </c>
      <c r="S91" s="85"/>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row>
    <row r="92" spans="1:64" s="86" customFormat="1" ht="19.5" customHeight="1">
      <c r="A92" s="130"/>
      <c r="B92" s="130"/>
      <c r="C92" s="130"/>
      <c r="D92" s="130"/>
      <c r="E92" s="130"/>
      <c r="F92" s="130"/>
      <c r="G92" s="249"/>
      <c r="H92" s="173" t="s">
        <v>449</v>
      </c>
      <c r="I92" s="250"/>
      <c r="J92" s="198"/>
      <c r="K92" s="251"/>
      <c r="L92" s="96"/>
      <c r="M92" s="110"/>
      <c r="N92" s="252"/>
      <c r="O92" s="99"/>
      <c r="P92" s="99"/>
      <c r="Q92" s="253"/>
      <c r="R92" s="254"/>
      <c r="S92" s="85"/>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row>
    <row r="93" spans="1:64" s="86" customFormat="1" ht="19.5" customHeight="1">
      <c r="A93" s="130"/>
      <c r="B93" s="130"/>
      <c r="C93" s="130"/>
      <c r="D93" s="130"/>
      <c r="E93" s="130"/>
      <c r="F93" s="130"/>
      <c r="G93" s="249"/>
      <c r="H93" s="255" t="s">
        <v>450</v>
      </c>
      <c r="I93" s="250"/>
      <c r="J93" s="198"/>
      <c r="K93" s="251"/>
      <c r="L93" s="96"/>
      <c r="M93" s="110"/>
      <c r="N93" s="252"/>
      <c r="O93" s="99"/>
      <c r="P93" s="99"/>
      <c r="Q93" s="253"/>
      <c r="R93" s="254"/>
      <c r="S93" s="85"/>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row>
    <row r="94" spans="1:64" s="86" customFormat="1" ht="28.5" customHeight="1">
      <c r="A94" s="130"/>
      <c r="B94" s="130"/>
      <c r="C94" s="130"/>
      <c r="D94" s="130"/>
      <c r="E94" s="130"/>
      <c r="F94" s="130"/>
      <c r="G94" s="249"/>
      <c r="H94" s="173" t="s">
        <v>451</v>
      </c>
      <c r="I94" s="250"/>
      <c r="J94" s="198"/>
      <c r="K94" s="251"/>
      <c r="L94" s="96"/>
      <c r="M94" s="110"/>
      <c r="N94" s="252"/>
      <c r="O94" s="99"/>
      <c r="P94" s="99"/>
      <c r="Q94" s="253"/>
      <c r="R94" s="254"/>
      <c r="S94" s="85"/>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row>
    <row r="95" spans="1:64" ht="51.75" customHeight="1">
      <c r="A95" s="148" t="s">
        <v>452</v>
      </c>
      <c r="B95" s="148" t="s">
        <v>453</v>
      </c>
      <c r="C95" s="148">
        <f>"https://www.sae.org/learn/content/c1933"</f>
        <v>0</v>
      </c>
      <c r="D95" s="115" t="s">
        <v>231</v>
      </c>
      <c r="E95" s="239" t="s">
        <v>454</v>
      </c>
      <c r="F95" s="148" t="s">
        <v>455</v>
      </c>
      <c r="G95" s="245" t="s">
        <v>456</v>
      </c>
      <c r="H95" s="234" t="s">
        <v>457</v>
      </c>
      <c r="I95" s="218"/>
      <c r="J95" s="256"/>
      <c r="K95" s="257"/>
      <c r="L95" s="212" t="s">
        <v>458</v>
      </c>
      <c r="M95" s="123" t="s">
        <v>459</v>
      </c>
      <c r="N95" s="258"/>
      <c r="O95" s="125" t="s">
        <v>396</v>
      </c>
      <c r="P95" s="148">
        <f aca="true" t="shared" si="0" ref="P95:P96">"https://www.sae.org/learn/professional-development"</f>
        <v>0</v>
      </c>
      <c r="Q95" s="248" t="s">
        <v>54</v>
      </c>
      <c r="R95" s="213" t="s">
        <v>55</v>
      </c>
      <c r="S95" s="85"/>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row>
    <row r="96" spans="1:64" ht="66" customHeight="1">
      <c r="A96" s="112" t="s">
        <v>460</v>
      </c>
      <c r="B96" s="113" t="s">
        <v>461</v>
      </c>
      <c r="C96" s="143">
        <f>"https://www.sae.org/learn/content/c1870/"</f>
        <v>0</v>
      </c>
      <c r="D96" s="115" t="s">
        <v>231</v>
      </c>
      <c r="E96" s="239" t="s">
        <v>454</v>
      </c>
      <c r="F96" s="115" t="s">
        <v>462</v>
      </c>
      <c r="G96" s="240" t="s">
        <v>463</v>
      </c>
      <c r="H96" s="217">
        <f>"Instructor:  Manoj Shah"</f>
        <v>0</v>
      </c>
      <c r="I96" s="215"/>
      <c r="J96" s="259"/>
      <c r="K96" s="257"/>
      <c r="L96" s="212" t="s">
        <v>464</v>
      </c>
      <c r="M96" s="234" t="s">
        <v>465</v>
      </c>
      <c r="N96" s="260"/>
      <c r="O96" s="261" t="s">
        <v>396</v>
      </c>
      <c r="P96" s="115">
        <f t="shared" si="0"/>
        <v>0</v>
      </c>
      <c r="Q96" s="126" t="s">
        <v>54</v>
      </c>
      <c r="R96" s="213" t="s">
        <v>55</v>
      </c>
      <c r="S96" s="85"/>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row>
    <row r="97" spans="1:64" ht="54" customHeight="1">
      <c r="A97" s="148" t="s">
        <v>466</v>
      </c>
      <c r="B97" s="148" t="s">
        <v>467</v>
      </c>
      <c r="C97" s="148">
        <f>"https://www.sae.org/learn/content/c1704/"</f>
        <v>0</v>
      </c>
      <c r="D97" s="115" t="s">
        <v>231</v>
      </c>
      <c r="E97" s="239" t="s">
        <v>454</v>
      </c>
      <c r="F97" s="148" t="s">
        <v>468</v>
      </c>
      <c r="G97" s="245" t="s">
        <v>469</v>
      </c>
      <c r="H97" s="234" t="s">
        <v>470</v>
      </c>
      <c r="I97" s="218"/>
      <c r="J97" s="256"/>
      <c r="K97" s="262"/>
      <c r="L97" s="212" t="s">
        <v>458</v>
      </c>
      <c r="M97" s="123" t="s">
        <v>459</v>
      </c>
      <c r="N97" s="263"/>
      <c r="O97" s="125" t="s">
        <v>396</v>
      </c>
      <c r="P97" s="222" t="s">
        <v>397</v>
      </c>
      <c r="Q97" s="264" t="s">
        <v>54</v>
      </c>
      <c r="R97" s="213" t="s">
        <v>55</v>
      </c>
      <c r="S97" s="85"/>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row>
    <row r="98" spans="1:64" ht="60.75" customHeight="1">
      <c r="A98" s="112" t="s">
        <v>471</v>
      </c>
      <c r="B98" s="113" t="s">
        <v>472</v>
      </c>
      <c r="C98" s="143">
        <f>"https://www.sae.org/learn/content/c1912/"</f>
        <v>0</v>
      </c>
      <c r="D98" s="115" t="s">
        <v>231</v>
      </c>
      <c r="E98" s="116" t="s">
        <v>473</v>
      </c>
      <c r="F98" s="115" t="s">
        <v>474</v>
      </c>
      <c r="G98" s="230" t="s">
        <v>392</v>
      </c>
      <c r="H98" s="118" t="s">
        <v>475</v>
      </c>
      <c r="I98" s="231"/>
      <c r="J98" s="232"/>
      <c r="K98" s="233"/>
      <c r="L98" s="154" t="s">
        <v>394</v>
      </c>
      <c r="M98" s="234" t="s">
        <v>395</v>
      </c>
      <c r="N98" s="235"/>
      <c r="O98" s="236" t="s">
        <v>396</v>
      </c>
      <c r="P98" s="237" t="s">
        <v>397</v>
      </c>
      <c r="Q98" s="238" t="s">
        <v>54</v>
      </c>
      <c r="R98" s="213" t="s">
        <v>55</v>
      </c>
      <c r="S98" s="141"/>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row>
    <row r="99" spans="1:64" ht="54" customHeight="1">
      <c r="A99" s="148" t="s">
        <v>476</v>
      </c>
      <c r="B99" s="148" t="s">
        <v>477</v>
      </c>
      <c r="C99" s="148" t="s">
        <v>478</v>
      </c>
      <c r="D99" s="148" t="s">
        <v>479</v>
      </c>
      <c r="E99" s="239" t="s">
        <v>480</v>
      </c>
      <c r="F99" s="148" t="s">
        <v>481</v>
      </c>
      <c r="G99" s="245" t="s">
        <v>482</v>
      </c>
      <c r="H99" s="265" t="s">
        <v>483</v>
      </c>
      <c r="I99" s="218"/>
      <c r="J99" s="256"/>
      <c r="K99" s="266"/>
      <c r="L99" s="212" t="s">
        <v>484</v>
      </c>
      <c r="M99" s="123" t="s">
        <v>395</v>
      </c>
      <c r="N99" s="263"/>
      <c r="O99" s="125" t="s">
        <v>396</v>
      </c>
      <c r="P99" s="222" t="s">
        <v>397</v>
      </c>
      <c r="Q99" s="264" t="s">
        <v>54</v>
      </c>
      <c r="R99" s="213" t="s">
        <v>55</v>
      </c>
      <c r="S99" s="85"/>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row>
    <row r="100" spans="1:64" ht="15.75" customHeight="1">
      <c r="A100" s="112" t="s">
        <v>485</v>
      </c>
      <c r="B100" s="113" t="s">
        <v>486</v>
      </c>
      <c r="C100" s="267" t="s">
        <v>487</v>
      </c>
      <c r="D100" s="115" t="s">
        <v>488</v>
      </c>
      <c r="E100" s="116" t="s">
        <v>489</v>
      </c>
      <c r="F100" s="115" t="s">
        <v>490</v>
      </c>
      <c r="G100" s="268" t="s">
        <v>491</v>
      </c>
      <c r="H100" s="269"/>
      <c r="I100" s="270" t="s">
        <v>492</v>
      </c>
      <c r="J100" s="270"/>
      <c r="K100" s="271"/>
      <c r="L100" s="272">
        <f>"Membership Information:  http://www.teslasciencecenter.org/become-a-member/"</f>
        <v>0</v>
      </c>
      <c r="M100" s="228" t="s">
        <v>64</v>
      </c>
      <c r="N100" s="229" t="s">
        <v>65</v>
      </c>
      <c r="O100" s="273" t="s">
        <v>66</v>
      </c>
      <c r="P100" s="274">
        <f>"https://teslasciencecenter.org/events"</f>
        <v>0</v>
      </c>
      <c r="Q100" s="126" t="s">
        <v>67</v>
      </c>
      <c r="R100" s="127" t="s">
        <v>68</v>
      </c>
      <c r="S100" s="85"/>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row>
    <row r="101" spans="1:64" ht="15.75" customHeight="1">
      <c r="A101" s="112"/>
      <c r="B101" s="113"/>
      <c r="C101" s="267"/>
      <c r="D101" s="115"/>
      <c r="E101" s="116"/>
      <c r="F101" s="115"/>
      <c r="G101" s="268"/>
      <c r="H101" s="269"/>
      <c r="I101" s="270" t="s">
        <v>493</v>
      </c>
      <c r="J101" s="270"/>
      <c r="K101" s="271"/>
      <c r="L101" s="272"/>
      <c r="M101" s="228" t="s">
        <v>70</v>
      </c>
      <c r="N101" s="229" t="s">
        <v>71</v>
      </c>
      <c r="O101" s="273"/>
      <c r="P101" s="274"/>
      <c r="Q101" s="126"/>
      <c r="R101" s="127"/>
      <c r="S101" s="85"/>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row>
    <row r="102" spans="1:64" ht="15.75" customHeight="1">
      <c r="A102" s="112"/>
      <c r="B102" s="113"/>
      <c r="C102" s="267"/>
      <c r="D102" s="115"/>
      <c r="E102" s="116"/>
      <c r="F102" s="115"/>
      <c r="G102" s="268"/>
      <c r="H102" s="269"/>
      <c r="I102" s="270" t="s">
        <v>494</v>
      </c>
      <c r="J102" s="270"/>
      <c r="K102" s="271"/>
      <c r="L102" s="272"/>
      <c r="M102" s="228" t="s">
        <v>73</v>
      </c>
      <c r="N102" s="229" t="s">
        <v>74</v>
      </c>
      <c r="O102" s="273"/>
      <c r="P102" s="274"/>
      <c r="Q102" s="126"/>
      <c r="R102" s="127"/>
      <c r="S102" s="85"/>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row>
    <row r="103" spans="1:64" ht="15.75" customHeight="1">
      <c r="A103" s="112"/>
      <c r="B103" s="113"/>
      <c r="C103" s="267"/>
      <c r="D103" s="115"/>
      <c r="E103" s="116"/>
      <c r="F103" s="115"/>
      <c r="G103" s="268"/>
      <c r="H103" s="269"/>
      <c r="I103" s="270" t="s">
        <v>495</v>
      </c>
      <c r="J103" s="270"/>
      <c r="K103" s="271"/>
      <c r="L103" s="272"/>
      <c r="M103" s="228" t="s">
        <v>76</v>
      </c>
      <c r="N103" s="229" t="s">
        <v>77</v>
      </c>
      <c r="O103" s="273"/>
      <c r="P103" s="274"/>
      <c r="Q103" s="126"/>
      <c r="R103" s="127"/>
      <c r="S103" s="85"/>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row>
    <row r="104" spans="1:64" ht="63.75" customHeight="1">
      <c r="A104" s="112" t="s">
        <v>496</v>
      </c>
      <c r="B104" s="113" t="s">
        <v>497</v>
      </c>
      <c r="C104" s="143">
        <f>"https://www.sae.org/learn/content/c1896/"</f>
        <v>0</v>
      </c>
      <c r="D104" s="115" t="s">
        <v>231</v>
      </c>
      <c r="E104" s="116" t="s">
        <v>498</v>
      </c>
      <c r="F104" s="115" t="s">
        <v>499</v>
      </c>
      <c r="G104" s="240" t="s">
        <v>500</v>
      </c>
      <c r="H104" s="217">
        <f>"Instructor: Rajeev Thakur"</f>
        <v>0</v>
      </c>
      <c r="I104" s="215"/>
      <c r="J104" s="275"/>
      <c r="K104" s="121"/>
      <c r="L104" s="276" t="s">
        <v>501</v>
      </c>
      <c r="M104" s="234" t="s">
        <v>395</v>
      </c>
      <c r="N104" s="277"/>
      <c r="O104" s="261" t="s">
        <v>396</v>
      </c>
      <c r="P104" s="115">
        <f>"https://www.sae.org/learn/professional-development"</f>
        <v>0</v>
      </c>
      <c r="Q104" s="126" t="s">
        <v>54</v>
      </c>
      <c r="R104" s="213" t="s">
        <v>55</v>
      </c>
      <c r="S104" s="85"/>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row>
    <row r="105" spans="1:64" ht="62.25" customHeight="1">
      <c r="A105" s="112" t="s">
        <v>502</v>
      </c>
      <c r="B105" s="113" t="s">
        <v>503</v>
      </c>
      <c r="C105" s="143">
        <f>"https://www.sae.org/learn/content/c1627/"</f>
        <v>0</v>
      </c>
      <c r="D105" s="115" t="s">
        <v>231</v>
      </c>
      <c r="E105" s="116" t="s">
        <v>498</v>
      </c>
      <c r="F105" s="115" t="s">
        <v>504</v>
      </c>
      <c r="G105" s="117" t="s">
        <v>505</v>
      </c>
      <c r="H105" s="217" t="s">
        <v>506</v>
      </c>
      <c r="I105" s="119"/>
      <c r="J105" s="256"/>
      <c r="K105" s="121"/>
      <c r="L105" s="154" t="s">
        <v>507</v>
      </c>
      <c r="M105" s="234" t="s">
        <v>395</v>
      </c>
      <c r="N105" s="235"/>
      <c r="O105" s="125" t="s">
        <v>396</v>
      </c>
      <c r="P105" s="115" t="s">
        <v>397</v>
      </c>
      <c r="Q105" s="126" t="s">
        <v>54</v>
      </c>
      <c r="R105" s="213" t="s">
        <v>55</v>
      </c>
      <c r="S105" s="85"/>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row>
    <row r="106" spans="1:64" ht="58.5" customHeight="1">
      <c r="A106" s="112" t="s">
        <v>508</v>
      </c>
      <c r="B106" s="113" t="s">
        <v>509</v>
      </c>
      <c r="C106" s="143">
        <f>"https://www.sae.org/learn/content/c1732/"</f>
        <v>0</v>
      </c>
      <c r="D106" s="115" t="s">
        <v>510</v>
      </c>
      <c r="E106" s="116" t="s">
        <v>511</v>
      </c>
      <c r="F106" s="115" t="s">
        <v>512</v>
      </c>
      <c r="G106" s="240" t="s">
        <v>513</v>
      </c>
      <c r="H106" s="278"/>
      <c r="I106" s="119"/>
      <c r="J106" s="275"/>
      <c r="K106" s="121"/>
      <c r="L106" s="212" t="s">
        <v>458</v>
      </c>
      <c r="M106" s="265" t="s">
        <v>459</v>
      </c>
      <c r="N106" s="235">
        <f>"Instructor: Dr. Mark Quarto"</f>
        <v>0</v>
      </c>
      <c r="O106" s="125" t="s">
        <v>396</v>
      </c>
      <c r="P106" s="115">
        <f>"https://www.sae.org/learn/professional-development"</f>
        <v>0</v>
      </c>
      <c r="Q106" s="126" t="s">
        <v>54</v>
      </c>
      <c r="R106" s="213" t="s">
        <v>55</v>
      </c>
      <c r="S106" s="85"/>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row>
    <row r="107" spans="1:64" ht="38.25" customHeight="1">
      <c r="A107" s="279" t="s">
        <v>514</v>
      </c>
      <c r="B107" s="280" t="s">
        <v>515</v>
      </c>
      <c r="C107" s="281">
        <f>"https://icmim-ieee.org/index.html"</f>
        <v>0</v>
      </c>
      <c r="D107" s="282" t="s">
        <v>516</v>
      </c>
      <c r="E107" s="283" t="s">
        <v>511</v>
      </c>
      <c r="F107" s="282" t="s">
        <v>517</v>
      </c>
      <c r="G107" s="284">
        <f>"&amp;hellip; covers all key enabling technologies for intelligent mobility, &amp;hellip;"</f>
        <v>0</v>
      </c>
      <c r="H107" s="285"/>
      <c r="I107" s="286"/>
      <c r="J107" s="282"/>
      <c r="K107" s="287">
        <f>"https://icmim-ieee.org/contact-us.html"</f>
        <v>0</v>
      </c>
      <c r="L107" s="288">
        <f>"https://icmim-ieee.org/author-information/paper-submission.html"</f>
        <v>0</v>
      </c>
      <c r="M107" s="265" t="s">
        <v>518</v>
      </c>
      <c r="N107" s="229" t="s">
        <v>89</v>
      </c>
      <c r="O107" s="286" t="s">
        <v>519</v>
      </c>
      <c r="P107" s="282" t="s">
        <v>520</v>
      </c>
      <c r="Q107" s="287" t="s">
        <v>54</v>
      </c>
      <c r="R107" s="289" t="s">
        <v>55</v>
      </c>
      <c r="S107" s="85"/>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row>
    <row r="108" spans="1:64" ht="54" customHeight="1">
      <c r="A108" s="279"/>
      <c r="B108" s="280"/>
      <c r="C108" s="281"/>
      <c r="D108" s="282"/>
      <c r="E108" s="282"/>
      <c r="F108" s="282"/>
      <c r="G108" s="284"/>
      <c r="H108" s="285"/>
      <c r="I108" s="286"/>
      <c r="J108" s="282"/>
      <c r="K108" s="287"/>
      <c r="L108" s="288">
        <f>"Technical Areas:  https://icmim-ieee.org/author-information/technical-areas.html"</f>
        <v>0</v>
      </c>
      <c r="M108" s="265">
        <f>"Author information:  https://icmim-ieee.org/author-information.html"</f>
        <v>0</v>
      </c>
      <c r="N108" s="229"/>
      <c r="O108" s="286" t="s">
        <v>521</v>
      </c>
      <c r="P108" s="282">
        <f>"https://www.mtt.org/"</f>
        <v>0</v>
      </c>
      <c r="Q108" s="287"/>
      <c r="R108" s="289"/>
      <c r="S108" s="85"/>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row>
    <row r="109" spans="1:64" ht="30.75" customHeight="1">
      <c r="A109" s="147" t="s">
        <v>522</v>
      </c>
      <c r="B109" s="113" t="s">
        <v>523</v>
      </c>
      <c r="C109" s="143">
        <f>"https://2020.ieeesyscon.org/"</f>
        <v>0</v>
      </c>
      <c r="D109" s="148" t="s">
        <v>524</v>
      </c>
      <c r="E109" s="116" t="s">
        <v>525</v>
      </c>
      <c r="F109" s="148" t="s">
        <v>526</v>
      </c>
      <c r="G109" s="290" t="s">
        <v>527</v>
      </c>
      <c r="H109" s="291"/>
      <c r="I109" s="119"/>
      <c r="J109" s="120"/>
      <c r="K109" s="241"/>
      <c r="L109" s="292" t="s">
        <v>528</v>
      </c>
      <c r="M109" s="293" t="s">
        <v>529</v>
      </c>
      <c r="N109" s="294" t="s">
        <v>530</v>
      </c>
      <c r="O109" s="125" t="s">
        <v>531</v>
      </c>
      <c r="P109" s="148">
        <f>"https://ieeesystemscouncil.org/pages/conferences"</f>
        <v>0</v>
      </c>
      <c r="Q109" s="126" t="s">
        <v>54</v>
      </c>
      <c r="R109" s="213" t="s">
        <v>55</v>
      </c>
      <c r="S109" s="85"/>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row>
    <row r="110" spans="1:64" ht="32.25" customHeight="1">
      <c r="A110" s="147"/>
      <c r="B110" s="113"/>
      <c r="C110" s="143"/>
      <c r="D110" s="148"/>
      <c r="E110" s="116"/>
      <c r="F110" s="148"/>
      <c r="G110" s="290"/>
      <c r="H110" s="291"/>
      <c r="I110" s="119"/>
      <c r="J110" s="120"/>
      <c r="K110" s="241"/>
      <c r="L110" s="292"/>
      <c r="M110" s="295" t="s">
        <v>532</v>
      </c>
      <c r="N110" s="294">
        <f>"2019/09/27         (extended  from 09/13)"</f>
        <v>0</v>
      </c>
      <c r="O110" s="125"/>
      <c r="P110" s="148"/>
      <c r="Q110" s="126"/>
      <c r="R110" s="213"/>
      <c r="S110" s="85"/>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row>
    <row r="111" spans="1:64" ht="36" customHeight="1">
      <c r="A111" s="112" t="s">
        <v>533</v>
      </c>
      <c r="B111" s="115" t="s">
        <v>534</v>
      </c>
      <c r="C111" s="143">
        <f>"https://www.intertraffic.com/en/amsterdam/"</f>
        <v>0</v>
      </c>
      <c r="D111" s="115" t="s">
        <v>535</v>
      </c>
      <c r="E111" s="116" t="s">
        <v>536</v>
      </c>
      <c r="F111" s="115" t="s">
        <v>537</v>
      </c>
      <c r="G111" s="117" t="s">
        <v>538</v>
      </c>
      <c r="H111" s="278"/>
      <c r="I111" s="125"/>
      <c r="J111" s="256"/>
      <c r="K111" s="121" t="s">
        <v>539</v>
      </c>
      <c r="L111" s="212">
        <f>"Exhibitor's info: https://www.intertraffic.com/amsterdam/exhibiting/"</f>
        <v>0</v>
      </c>
      <c r="M111" s="123">
        <f>"ITSUP (for startups):  https://www.intertraffic.com/itsup"</f>
        <v>0</v>
      </c>
      <c r="N111" s="155"/>
      <c r="O111" s="125" t="s">
        <v>540</v>
      </c>
      <c r="P111" s="115" t="s">
        <v>541</v>
      </c>
      <c r="Q111" s="126" t="s">
        <v>54</v>
      </c>
      <c r="R111" s="213" t="s">
        <v>55</v>
      </c>
      <c r="S111" s="85"/>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row>
    <row r="112" spans="1:19" s="27" customFormat="1" ht="43.5" customHeight="1">
      <c r="A112" s="87" t="s">
        <v>542</v>
      </c>
      <c r="B112" s="88" t="s">
        <v>543</v>
      </c>
      <c r="C112" s="89">
        <f>"https://www.act-news.com/webinar/webinar-the-facts-on-fuel-cell-electric-trucks-part-2/"</f>
        <v>0</v>
      </c>
      <c r="D112" s="130"/>
      <c r="E112" s="209" t="s">
        <v>544</v>
      </c>
      <c r="F112" s="130" t="s">
        <v>545</v>
      </c>
      <c r="G112" s="104" t="s">
        <v>546</v>
      </c>
      <c r="H112" s="132" t="s">
        <v>419</v>
      </c>
      <c r="I112" s="106"/>
      <c r="J112" s="107"/>
      <c r="K112" s="134"/>
      <c r="L112" s="210"/>
      <c r="M112" s="110"/>
      <c r="N112" s="146"/>
      <c r="O112" s="99" t="s">
        <v>420</v>
      </c>
      <c r="P112" s="130">
        <f>"https://www.act-news.com/webinars/"</f>
        <v>0</v>
      </c>
      <c r="Q112" s="100" t="s">
        <v>54</v>
      </c>
      <c r="R112" s="128" t="s">
        <v>55</v>
      </c>
      <c r="S112" s="85"/>
    </row>
    <row r="113" spans="1:19" s="27" customFormat="1" ht="42" customHeight="1">
      <c r="A113" s="87"/>
      <c r="B113" s="88"/>
      <c r="C113" s="89"/>
      <c r="D113" s="130"/>
      <c r="E113" s="130"/>
      <c r="F113" s="130"/>
      <c r="G113" s="104"/>
      <c r="H113" s="132" t="s">
        <v>547</v>
      </c>
      <c r="I113" s="106"/>
      <c r="J113" s="107"/>
      <c r="K113" s="134"/>
      <c r="L113" s="210"/>
      <c r="M113" s="110"/>
      <c r="N113" s="146"/>
      <c r="O113" s="99"/>
      <c r="P113" s="130"/>
      <c r="Q113" s="100"/>
      <c r="R113" s="128"/>
      <c r="S113" s="85"/>
    </row>
    <row r="114" spans="1:19" s="27" customFormat="1" ht="42" customHeight="1">
      <c r="A114" s="87"/>
      <c r="B114" s="88"/>
      <c r="C114" s="89"/>
      <c r="D114" s="130"/>
      <c r="E114" s="130"/>
      <c r="F114" s="130"/>
      <c r="G114" s="104"/>
      <c r="H114" s="132" t="s">
        <v>548</v>
      </c>
      <c r="I114" s="106"/>
      <c r="J114" s="107"/>
      <c r="K114" s="134"/>
      <c r="L114" s="210"/>
      <c r="M114" s="110"/>
      <c r="N114" s="146"/>
      <c r="O114" s="125" t="s">
        <v>423</v>
      </c>
      <c r="P114" s="148">
        <f>"https://www.californiahydrogen.org/"</f>
        <v>0</v>
      </c>
      <c r="Q114" s="100"/>
      <c r="R114" s="128"/>
      <c r="S114" s="85"/>
    </row>
    <row r="115" spans="1:19" s="27" customFormat="1" ht="27" customHeight="1">
      <c r="A115" s="87"/>
      <c r="B115" s="88"/>
      <c r="C115" s="89"/>
      <c r="D115" s="130"/>
      <c r="E115" s="130"/>
      <c r="F115" s="130"/>
      <c r="G115" s="104"/>
      <c r="H115" s="132" t="s">
        <v>549</v>
      </c>
      <c r="I115" s="106"/>
      <c r="J115" s="107"/>
      <c r="K115" s="134"/>
      <c r="L115" s="210"/>
      <c r="M115" s="110"/>
      <c r="N115" s="146"/>
      <c r="O115" s="125"/>
      <c r="P115" s="148"/>
      <c r="Q115" s="100"/>
      <c r="R115" s="128"/>
      <c r="S115" s="85"/>
    </row>
    <row r="116" spans="1:64" ht="61.5" customHeight="1">
      <c r="A116" s="112" t="s">
        <v>550</v>
      </c>
      <c r="B116" s="113" t="s">
        <v>551</v>
      </c>
      <c r="C116" s="143">
        <f>"https://www.sae.org/learn/content/c0626/"</f>
        <v>0</v>
      </c>
      <c r="D116" s="115" t="s">
        <v>552</v>
      </c>
      <c r="E116" s="116" t="s">
        <v>553</v>
      </c>
      <c r="F116" s="115" t="s">
        <v>554</v>
      </c>
      <c r="G116" s="117" t="s">
        <v>555</v>
      </c>
      <c r="H116" s="217" t="s">
        <v>556</v>
      </c>
      <c r="I116" s="215"/>
      <c r="J116" s="256"/>
      <c r="K116" s="121"/>
      <c r="L116" s="296" t="s">
        <v>484</v>
      </c>
      <c r="M116" s="123" t="s">
        <v>395</v>
      </c>
      <c r="N116" s="297"/>
      <c r="O116" s="125" t="s">
        <v>396</v>
      </c>
      <c r="P116" s="115">
        <f>"https://www.sae.org/learn/professional-development"</f>
        <v>0</v>
      </c>
      <c r="Q116" s="126" t="s">
        <v>54</v>
      </c>
      <c r="R116" s="213" t="s">
        <v>55</v>
      </c>
      <c r="S116" s="85"/>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row>
    <row r="117" spans="1:64" ht="103.5" customHeight="1">
      <c r="A117" s="112" t="s">
        <v>557</v>
      </c>
      <c r="B117" s="113" t="s">
        <v>558</v>
      </c>
      <c r="C117" s="143">
        <f>"https://www.sae.org/attend/wcx/"</f>
        <v>0</v>
      </c>
      <c r="D117" s="148" t="s">
        <v>231</v>
      </c>
      <c r="E117" s="116" t="s">
        <v>559</v>
      </c>
      <c r="F117" s="148" t="s">
        <v>560</v>
      </c>
      <c r="G117" s="117" t="s">
        <v>561</v>
      </c>
      <c r="H117" s="217"/>
      <c r="I117" s="215"/>
      <c r="J117" s="219"/>
      <c r="K117" s="287">
        <f>"Exhibitors&amp;rsquo; info.:  https://www.sae.org/attend/wcx/exhibit-sponsor"</f>
        <v>0</v>
      </c>
      <c r="L117" s="298">
        <f>"https://www.sae.org/attend/wcx/call-for-papers"</f>
        <v>0</v>
      </c>
      <c r="M117" s="234">
        <f>"https://www.sae.org/servlets/techpapers/enterAbstractForPapers.do?method=formView&amp;evtSchedGenNum=237384&amp;prodGrpCd=INTL&amp;evtName=ANNUAL"</f>
        <v>0</v>
      </c>
      <c r="N117" s="299" t="s">
        <v>562</v>
      </c>
      <c r="O117" s="125" t="s">
        <v>83</v>
      </c>
      <c r="P117" s="148">
        <f>"https://www.sae.org/attend/"</f>
        <v>0</v>
      </c>
      <c r="Q117" s="126" t="s">
        <v>85</v>
      </c>
      <c r="R117" s="127" t="s">
        <v>86</v>
      </c>
      <c r="S117" s="141"/>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row>
    <row r="118" spans="1:64" ht="43.5" customHeight="1">
      <c r="A118" s="112"/>
      <c r="B118" s="113"/>
      <c r="C118" s="143"/>
      <c r="D118" s="148"/>
      <c r="E118" s="116"/>
      <c r="F118" s="148"/>
      <c r="G118" s="117"/>
      <c r="H118" s="217"/>
      <c r="I118" s="215"/>
      <c r="J118" s="219"/>
      <c r="K118" s="287"/>
      <c r="L118" s="300">
        <f>"Instructions and topics:  https://www.sae.org/binaries/content/assets/cm/content/attend/2020/wcx/wcx_2020_submit_your_paper.pdf"</f>
        <v>0</v>
      </c>
      <c r="M118" s="300"/>
      <c r="N118" s="299"/>
      <c r="O118" s="125"/>
      <c r="P118" s="148"/>
      <c r="Q118" s="126"/>
      <c r="R118" s="127"/>
      <c r="S118" s="141"/>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row>
    <row r="119" spans="1:19" s="86" customFormat="1" ht="87" customHeight="1">
      <c r="A119" s="87" t="s">
        <v>563</v>
      </c>
      <c r="B119" s="88" t="s">
        <v>564</v>
      </c>
      <c r="C119" s="89">
        <f>"https://www.business-review-webinars.com/webinar/Defence/Why_Vent_Learn_How_to_Protect_Your_Battery_Pack_with_DualStage_Venting-cYF7tC9Vdefence"</f>
        <v>0</v>
      </c>
      <c r="D119" s="130"/>
      <c r="E119" s="91" t="s">
        <v>565</v>
      </c>
      <c r="F119" s="130" t="s">
        <v>566</v>
      </c>
      <c r="G119" s="160">
        <f>"automotive lithium-ion batteries need &amp;hellip; adequate venting for temperature and pressure fluctuations."</f>
        <v>0</v>
      </c>
      <c r="H119" s="132" t="s">
        <v>567</v>
      </c>
      <c r="I119" s="301"/>
      <c r="J119" s="198"/>
      <c r="K119" s="302"/>
      <c r="L119" s="109"/>
      <c r="M119" s="109"/>
      <c r="N119" s="303"/>
      <c r="O119" s="99" t="s">
        <v>568</v>
      </c>
      <c r="P119" s="183" t="s">
        <v>569</v>
      </c>
      <c r="Q119" s="100" t="s">
        <v>54</v>
      </c>
      <c r="R119" s="128" t="s">
        <v>55</v>
      </c>
      <c r="S119" s="141"/>
    </row>
    <row r="120" spans="1:19" s="86" customFormat="1" ht="72" customHeight="1">
      <c r="A120" s="87"/>
      <c r="B120" s="88"/>
      <c r="C120" s="89">
        <f>"Alt. Link:  https://chargedevs.com/newswire/how-to-enhance-battery-pack-protection-with-dual-stage-venting-webinar/"</f>
        <v>0</v>
      </c>
      <c r="D120" s="130"/>
      <c r="E120" s="91"/>
      <c r="F120" s="130"/>
      <c r="G120" s="160"/>
      <c r="H120" s="132" t="s">
        <v>570</v>
      </c>
      <c r="I120" s="301"/>
      <c r="J120" s="198"/>
      <c r="K120" s="302"/>
      <c r="L120" s="109"/>
      <c r="M120" s="109"/>
      <c r="N120" s="303"/>
      <c r="O120" s="99" t="s">
        <v>153</v>
      </c>
      <c r="P120" s="183">
        <f>"https://chargedevs.com/newswire/"</f>
        <v>0</v>
      </c>
      <c r="Q120" s="100"/>
      <c r="R120" s="128"/>
      <c r="S120" s="141"/>
    </row>
    <row r="121" spans="1:19" s="86" customFormat="1" ht="27.75" customHeight="1">
      <c r="A121" s="87" t="s">
        <v>571</v>
      </c>
      <c r="B121" s="88" t="s">
        <v>572</v>
      </c>
      <c r="C121" s="89">
        <f>"http://www.trb.org/Main/Blurbs/180378.aspx"</f>
        <v>0</v>
      </c>
      <c r="D121" s="130"/>
      <c r="E121" s="91" t="s">
        <v>573</v>
      </c>
      <c r="F121" s="130" t="s">
        <v>574</v>
      </c>
      <c r="G121" s="104" t="s">
        <v>575</v>
      </c>
      <c r="H121" s="186" t="s">
        <v>576</v>
      </c>
      <c r="I121" s="301"/>
      <c r="J121" s="198"/>
      <c r="K121" s="302" t="s">
        <v>447</v>
      </c>
      <c r="L121" s="109" t="s">
        <v>577</v>
      </c>
      <c r="M121" s="109"/>
      <c r="N121" s="303"/>
      <c r="O121" s="99" t="s">
        <v>125</v>
      </c>
      <c r="P121" s="130" t="s">
        <v>319</v>
      </c>
      <c r="Q121" s="100" t="s">
        <v>54</v>
      </c>
      <c r="R121" s="128" t="s">
        <v>55</v>
      </c>
      <c r="S121" s="141"/>
    </row>
    <row r="122" spans="1:19" s="86" customFormat="1" ht="19.5" customHeight="1">
      <c r="A122" s="87"/>
      <c r="B122" s="88"/>
      <c r="C122" s="89"/>
      <c r="D122" s="130"/>
      <c r="E122" s="91"/>
      <c r="F122" s="130"/>
      <c r="G122" s="104"/>
      <c r="H122" s="186" t="s">
        <v>578</v>
      </c>
      <c r="I122" s="301"/>
      <c r="J122" s="198"/>
      <c r="K122" s="302"/>
      <c r="L122" s="109"/>
      <c r="M122" s="109"/>
      <c r="N122" s="303"/>
      <c r="O122" s="99"/>
      <c r="P122" s="130"/>
      <c r="Q122" s="100"/>
      <c r="R122" s="128"/>
      <c r="S122" s="141"/>
    </row>
    <row r="123" spans="1:19" s="86" customFormat="1" ht="27.75" customHeight="1">
      <c r="A123" s="87"/>
      <c r="B123" s="88"/>
      <c r="C123" s="89"/>
      <c r="D123" s="130"/>
      <c r="E123" s="91"/>
      <c r="F123" s="130"/>
      <c r="G123" s="104"/>
      <c r="H123" s="186" t="s">
        <v>579</v>
      </c>
      <c r="I123" s="301"/>
      <c r="J123" s="198"/>
      <c r="K123" s="302"/>
      <c r="L123" s="109"/>
      <c r="M123" s="109"/>
      <c r="N123" s="303"/>
      <c r="O123" s="99"/>
      <c r="P123" s="130"/>
      <c r="Q123" s="100"/>
      <c r="R123" s="128"/>
      <c r="S123" s="141"/>
    </row>
    <row r="124" spans="1:19" s="86" customFormat="1" ht="19.5" customHeight="1">
      <c r="A124" s="87"/>
      <c r="B124" s="88"/>
      <c r="C124" s="89"/>
      <c r="D124" s="130"/>
      <c r="E124" s="91"/>
      <c r="F124" s="130"/>
      <c r="G124" s="104"/>
      <c r="H124" s="186" t="s">
        <v>580</v>
      </c>
      <c r="I124" s="301"/>
      <c r="J124" s="198"/>
      <c r="K124" s="302"/>
      <c r="L124" s="109"/>
      <c r="M124" s="109"/>
      <c r="N124" s="303"/>
      <c r="O124" s="99"/>
      <c r="P124" s="130"/>
      <c r="Q124" s="100"/>
      <c r="R124" s="128"/>
      <c r="S124" s="141"/>
    </row>
    <row r="125" spans="1:19" s="86" customFormat="1" ht="19.5" customHeight="1">
      <c r="A125" s="87"/>
      <c r="B125" s="88"/>
      <c r="C125" s="89"/>
      <c r="D125" s="130"/>
      <c r="E125" s="91"/>
      <c r="F125" s="130"/>
      <c r="G125" s="104"/>
      <c r="H125" s="201" t="s">
        <v>581</v>
      </c>
      <c r="I125" s="301"/>
      <c r="J125" s="198"/>
      <c r="K125" s="302"/>
      <c r="L125" s="109"/>
      <c r="M125" s="109"/>
      <c r="N125" s="303"/>
      <c r="O125" s="99"/>
      <c r="P125" s="130"/>
      <c r="Q125" s="100"/>
      <c r="R125" s="128"/>
      <c r="S125" s="141"/>
    </row>
    <row r="126" spans="1:64" ht="51" customHeight="1">
      <c r="A126" s="112" t="s">
        <v>582</v>
      </c>
      <c r="B126" s="113" t="s">
        <v>583</v>
      </c>
      <c r="C126" s="143">
        <f>"https://www.sae.org/learn/content/c1615/"</f>
        <v>0</v>
      </c>
      <c r="D126" s="148" t="s">
        <v>389</v>
      </c>
      <c r="E126" s="116" t="s">
        <v>584</v>
      </c>
      <c r="F126" s="148" t="s">
        <v>585</v>
      </c>
      <c r="G126" s="117" t="s">
        <v>586</v>
      </c>
      <c r="H126" s="217" t="s">
        <v>587</v>
      </c>
      <c r="I126" s="215"/>
      <c r="J126" s="256"/>
      <c r="K126" s="304"/>
      <c r="L126" s="122" t="s">
        <v>588</v>
      </c>
      <c r="M126" s="305" t="s">
        <v>395</v>
      </c>
      <c r="N126" s="299"/>
      <c r="O126" s="125" t="s">
        <v>396</v>
      </c>
      <c r="P126" s="115">
        <f>"https://www.sae.org/learn/professional-development"</f>
        <v>0</v>
      </c>
      <c r="Q126" s="126" t="s">
        <v>54</v>
      </c>
      <c r="R126" s="213" t="s">
        <v>55</v>
      </c>
      <c r="S126" s="141"/>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row>
    <row r="127" spans="1:64" ht="47.25" customHeight="1">
      <c r="A127" s="112" t="s">
        <v>589</v>
      </c>
      <c r="B127" s="115" t="s">
        <v>590</v>
      </c>
      <c r="C127" s="115">
        <f>"https://nordicevs.no/"</f>
        <v>0</v>
      </c>
      <c r="D127" s="115" t="s">
        <v>591</v>
      </c>
      <c r="E127" s="116" t="s">
        <v>592</v>
      </c>
      <c r="F127" s="115" t="s">
        <v>593</v>
      </c>
      <c r="G127" s="216" t="s">
        <v>594</v>
      </c>
      <c r="H127" s="278"/>
      <c r="I127" s="215"/>
      <c r="J127" s="120"/>
      <c r="K127" s="121">
        <f>"https://nordicevs.no/#contact"</f>
        <v>0</v>
      </c>
      <c r="L127" s="276">
        <f>"Apply to become a Speaker:  https://nordicevs.no/become-a-speaker/"</f>
        <v>0</v>
      </c>
      <c r="M127" s="123"/>
      <c r="N127" s="229"/>
      <c r="O127" s="261" t="s">
        <v>187</v>
      </c>
      <c r="P127" s="115" t="s">
        <v>188</v>
      </c>
      <c r="Q127" s="126" t="s">
        <v>54</v>
      </c>
      <c r="R127" s="213" t="s">
        <v>55</v>
      </c>
      <c r="S127" s="85"/>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row>
    <row r="128" spans="1:64" ht="50.25" customHeight="1">
      <c r="A128" s="112" t="s">
        <v>595</v>
      </c>
      <c r="B128" s="113" t="s">
        <v>596</v>
      </c>
      <c r="C128" s="143">
        <f>"https://svem.ebems.com/"</f>
        <v>0</v>
      </c>
      <c r="D128" s="115" t="s">
        <v>524</v>
      </c>
      <c r="E128" s="116" t="s">
        <v>597</v>
      </c>
      <c r="F128" s="115" t="s">
        <v>598</v>
      </c>
      <c r="G128" s="117" t="s">
        <v>599</v>
      </c>
      <c r="H128" s="278"/>
      <c r="I128" s="215"/>
      <c r="J128" s="256"/>
      <c r="K128" s="121">
        <f>"https://svem.ebems.com/contact-en.html"</f>
        <v>0</v>
      </c>
      <c r="L128" s="154">
        <f>"Exhibitors &amp;ndash; Reserve your booth:  https://svem.ebems.com/reserve/reserve-your-booth.html"</f>
        <v>0</v>
      </c>
      <c r="M128" s="234"/>
      <c r="N128" s="277"/>
      <c r="O128" s="125" t="s">
        <v>600</v>
      </c>
      <c r="P128" s="115">
        <f>"https://emc-mec.ca/event/"</f>
        <v>0</v>
      </c>
      <c r="Q128" s="126" t="s">
        <v>67</v>
      </c>
      <c r="R128" s="127" t="s">
        <v>86</v>
      </c>
      <c r="S128" s="85"/>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row>
    <row r="129" spans="1:64" s="86" customFormat="1" ht="65.25" customHeight="1">
      <c r="A129" s="87" t="s">
        <v>601</v>
      </c>
      <c r="B129" s="88" t="s">
        <v>602</v>
      </c>
      <c r="C129" s="89">
        <f>"http://transportationcamp.org/events/phl2020/"</f>
        <v>0</v>
      </c>
      <c r="D129" s="90" t="s">
        <v>603</v>
      </c>
      <c r="E129" s="91" t="s">
        <v>604</v>
      </c>
      <c r="F129" s="90" t="s">
        <v>605</v>
      </c>
      <c r="G129" s="306" t="s">
        <v>606</v>
      </c>
      <c r="H129" s="132">
        <f>"Registration:  https://www.eventbrite.com/e/transportationcamp-phl-2020-registration-100059366258?aff=transportationcampdotorg"</f>
        <v>0</v>
      </c>
      <c r="I129" s="106"/>
      <c r="J129" s="202"/>
      <c r="K129" s="307">
        <f>"Series link:  http://transportationcamp.org/"</f>
        <v>0</v>
      </c>
      <c r="L129" s="96">
        <f>"Essential guide:  http://transportationcamp.org/2011/02/how-transportationcamp-works-the-essential-guide/"</f>
        <v>0</v>
      </c>
      <c r="M129" s="96"/>
      <c r="N129" s="98"/>
      <c r="O129" s="99"/>
      <c r="P129" s="90"/>
      <c r="Q129" s="100" t="s">
        <v>85</v>
      </c>
      <c r="R129" s="101" t="s">
        <v>607</v>
      </c>
      <c r="S129" s="85"/>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row>
    <row r="130" spans="1:64" ht="48" customHeight="1">
      <c r="A130" s="112" t="s">
        <v>608</v>
      </c>
      <c r="B130" s="113" t="s">
        <v>609</v>
      </c>
      <c r="C130" s="143">
        <f>"https://emc-mec.ca/ev2020ve/"</f>
        <v>0</v>
      </c>
      <c r="D130" s="115" t="s">
        <v>610</v>
      </c>
      <c r="E130" s="283" t="s">
        <v>611</v>
      </c>
      <c r="F130" s="115" t="s">
        <v>612</v>
      </c>
      <c r="G130" s="240" t="s">
        <v>613</v>
      </c>
      <c r="H130" s="308"/>
      <c r="I130" s="215"/>
      <c r="J130" s="120"/>
      <c r="K130" s="241">
        <f>"https://emc-mec.ca/ev2020ve/contact-us/"</f>
        <v>0</v>
      </c>
      <c r="L130" s="159">
        <f>"Call for Abstracts:   https://emc-mec.ca/ev2020ve/call-for-abstracts/"</f>
        <v>0</v>
      </c>
      <c r="M130" s="173">
        <f>"https://na.eventscloud.com/eSites/ev2020/Login"</f>
        <v>0</v>
      </c>
      <c r="N130" s="180">
        <f>"Abstracts due:  2019/12/06 (extended)"</f>
        <v>0</v>
      </c>
      <c r="O130" s="125" t="s">
        <v>600</v>
      </c>
      <c r="P130" s="115">
        <f>"https://emc-mec.ca/event/"</f>
        <v>0</v>
      </c>
      <c r="Q130" s="126" t="s">
        <v>85</v>
      </c>
      <c r="R130" s="127" t="s">
        <v>86</v>
      </c>
      <c r="S130" s="85"/>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row>
    <row r="131" spans="1:64" ht="37.5" customHeight="1">
      <c r="A131" s="112"/>
      <c r="B131" s="113"/>
      <c r="C131" s="143"/>
      <c r="D131" s="115"/>
      <c r="E131" s="283"/>
      <c r="F131" s="283"/>
      <c r="G131" s="240"/>
      <c r="H131" s="308"/>
      <c r="I131" s="215"/>
      <c r="J131" s="120"/>
      <c r="K131" s="241"/>
      <c r="L131" s="225">
        <f>"Ride &amp; Drive:  https://emc-mec.ca/ev2019ve/ride-n-drive/"</f>
        <v>0</v>
      </c>
      <c r="M131" s="309" t="s">
        <v>614</v>
      </c>
      <c r="N131" s="310" t="s">
        <v>615</v>
      </c>
      <c r="O131" s="125"/>
      <c r="P131" s="115"/>
      <c r="Q131" s="126"/>
      <c r="R131" s="127"/>
      <c r="S131" s="85"/>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row>
    <row r="132" spans="1:64" ht="26.25" customHeight="1">
      <c r="A132" s="112"/>
      <c r="B132" s="113"/>
      <c r="C132" s="143"/>
      <c r="D132" s="115"/>
      <c r="E132" s="283"/>
      <c r="F132" s="283"/>
      <c r="G132" s="240"/>
      <c r="H132" s="308"/>
      <c r="I132" s="215"/>
      <c r="J132" s="120"/>
      <c r="K132" s="241"/>
      <c r="L132" s="225">
        <f>"Exhibitor's info:  https://emc-mec.ca/ev2019ve/trade-show/"</f>
        <v>0</v>
      </c>
      <c r="M132" s="309"/>
      <c r="N132" s="310"/>
      <c r="O132" s="125"/>
      <c r="P132" s="115"/>
      <c r="Q132" s="126"/>
      <c r="R132" s="127"/>
      <c r="S132" s="85"/>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row>
    <row r="133" spans="1:18" ht="69" customHeight="1">
      <c r="A133" s="112" t="s">
        <v>616</v>
      </c>
      <c r="B133" s="115" t="s">
        <v>617</v>
      </c>
      <c r="C133" s="267">
        <f>"https://traconference.eu/"</f>
        <v>0</v>
      </c>
      <c r="D133" s="115" t="s">
        <v>618</v>
      </c>
      <c r="E133" s="116" t="s">
        <v>611</v>
      </c>
      <c r="F133" s="115" t="s">
        <v>619</v>
      </c>
      <c r="G133" s="117" t="s">
        <v>620</v>
      </c>
      <c r="H133" s="308"/>
      <c r="I133" s="125"/>
      <c r="J133" s="256"/>
      <c r="K133" s="241">
        <f>"https://traconference.eu/contact/"</f>
        <v>0</v>
      </c>
      <c r="L133" s="212">
        <f>"https://traconference.eu/call-for-submissions/"</f>
        <v>0</v>
      </c>
      <c r="M133" s="123" t="s">
        <v>621</v>
      </c>
      <c r="N133" s="155" t="s">
        <v>622</v>
      </c>
      <c r="O133" s="125"/>
      <c r="P133" s="115"/>
      <c r="Q133" s="126" t="s">
        <v>54</v>
      </c>
      <c r="R133" s="213" t="s">
        <v>55</v>
      </c>
    </row>
    <row r="134" spans="1:18" ht="69" customHeight="1">
      <c r="A134" s="112"/>
      <c r="B134" s="115"/>
      <c r="C134" s="267"/>
      <c r="D134" s="115"/>
      <c r="E134" s="115"/>
      <c r="F134" s="115"/>
      <c r="G134" s="117"/>
      <c r="H134" s="308"/>
      <c r="I134" s="125"/>
      <c r="J134" s="256"/>
      <c r="K134" s="241"/>
      <c r="L134" s="212"/>
      <c r="M134" s="123" t="s">
        <v>623</v>
      </c>
      <c r="N134" s="155" t="s">
        <v>624</v>
      </c>
      <c r="O134" s="125"/>
      <c r="P134" s="115"/>
      <c r="Q134" s="126"/>
      <c r="R134" s="213"/>
    </row>
    <row r="135" spans="1:18" ht="42.75" customHeight="1">
      <c r="A135" s="112"/>
      <c r="B135" s="115"/>
      <c r="C135" s="267"/>
      <c r="D135" s="115"/>
      <c r="E135" s="115"/>
      <c r="F135" s="115"/>
      <c r="G135" s="117"/>
      <c r="H135" s="308"/>
      <c r="I135" s="125"/>
      <c r="J135" s="256"/>
      <c r="K135" s="241"/>
      <c r="L135" s="154">
        <f>"Call for Demonstrations:  https://traconference.eu/call-for-demonstrations/"</f>
        <v>0</v>
      </c>
      <c r="M135" s="123"/>
      <c r="N135" s="155" t="s">
        <v>625</v>
      </c>
      <c r="O135" s="125"/>
      <c r="P135" s="115"/>
      <c r="Q135" s="126"/>
      <c r="R135" s="213"/>
    </row>
    <row r="136" spans="1:18" ht="42.75" customHeight="1">
      <c r="A136" s="112"/>
      <c r="B136" s="115"/>
      <c r="C136" s="267"/>
      <c r="D136" s="115"/>
      <c r="E136" s="115"/>
      <c r="F136" s="115"/>
      <c r="G136" s="117"/>
      <c r="H136" s="308"/>
      <c r="I136" s="125"/>
      <c r="J136" s="256"/>
      <c r="K136" s="241"/>
      <c r="L136" s="154">
        <f>"Call for Invited Sessions:  https://traconference.eu/call-for-invited-sessions/"</f>
        <v>0</v>
      </c>
      <c r="M136" s="123"/>
      <c r="N136" s="155" t="s">
        <v>625</v>
      </c>
      <c r="O136" s="125"/>
      <c r="P136" s="115"/>
      <c r="Q136" s="126"/>
      <c r="R136" s="213"/>
    </row>
    <row r="137" spans="1:64" ht="38.25" customHeight="1">
      <c r="A137" s="311" t="s">
        <v>626</v>
      </c>
      <c r="B137" s="312" t="s">
        <v>627</v>
      </c>
      <c r="C137" s="114">
        <f>"https://www.evtechexpo.eu/"</f>
        <v>0</v>
      </c>
      <c r="D137" s="282" t="s">
        <v>628</v>
      </c>
      <c r="E137" s="239">
        <f>"2020/04/28 – 30"</f>
        <v>0</v>
      </c>
      <c r="F137" s="115" t="s">
        <v>629</v>
      </c>
      <c r="G137" s="230" t="s">
        <v>630</v>
      </c>
      <c r="H137" s="313"/>
      <c r="I137" s="231"/>
      <c r="J137" s="232"/>
      <c r="K137" s="233">
        <f>"https://www.evtechexpo.eu/en/Information/contact-us.html"</f>
        <v>0</v>
      </c>
      <c r="L137" s="154">
        <f>"Exhibitors&amp;rsquo; info:  https://www.evtechexpo.eu/en/Exhibit/why-exhibit.html"</f>
        <v>0</v>
      </c>
      <c r="M137" s="265" t="s">
        <v>631</v>
      </c>
      <c r="N137" s="235"/>
      <c r="O137" s="125"/>
      <c r="P137" s="148"/>
      <c r="Q137" s="126" t="s">
        <v>85</v>
      </c>
      <c r="R137" s="213" t="s">
        <v>55</v>
      </c>
      <c r="S137" s="85"/>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row>
    <row r="138" spans="1:64" ht="50.25" customHeight="1">
      <c r="A138" s="112" t="s">
        <v>632</v>
      </c>
      <c r="B138" s="113" t="s">
        <v>633</v>
      </c>
      <c r="C138" s="143">
        <f>"https://www.thebatteryshow.eu/"</f>
        <v>0</v>
      </c>
      <c r="D138" s="282"/>
      <c r="E138" s="239"/>
      <c r="F138" s="282" t="s">
        <v>634</v>
      </c>
      <c r="G138" s="230" t="s">
        <v>635</v>
      </c>
      <c r="H138" s="313"/>
      <c r="I138" s="215"/>
      <c r="J138" s="120"/>
      <c r="K138" s="121">
        <f>"https://www.thebatteryshow.eu/en/Information/contact-us.html"</f>
        <v>0</v>
      </c>
      <c r="L138" s="212">
        <f>"Exhibitors&amp;rsquo; info:  https://www.thebatteryshow.eu/en/Exhibit/why-exhibit.html"</f>
        <v>0</v>
      </c>
      <c r="M138" s="265" t="s">
        <v>636</v>
      </c>
      <c r="N138" s="235"/>
      <c r="O138" s="125"/>
      <c r="P138" s="148"/>
      <c r="Q138" s="126"/>
      <c r="R138" s="213"/>
      <c r="S138" s="85"/>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row>
    <row r="139" spans="1:64" ht="36" customHeight="1">
      <c r="A139" s="112" t="s">
        <v>637</v>
      </c>
      <c r="B139" s="148" t="s">
        <v>638</v>
      </c>
      <c r="C139" s="143">
        <f>"http://www.ievexpo.org/eng/"</f>
        <v>0</v>
      </c>
      <c r="D139" s="148" t="s">
        <v>639</v>
      </c>
      <c r="E139" s="239" t="s">
        <v>640</v>
      </c>
      <c r="F139" s="148" t="s">
        <v>641</v>
      </c>
      <c r="G139" s="240" t="s">
        <v>642</v>
      </c>
      <c r="H139" s="217" t="s">
        <v>643</v>
      </c>
      <c r="I139" s="119"/>
      <c r="J139" s="120" t="s">
        <v>644</v>
      </c>
      <c r="K139" s="241">
        <f>"mailto:ieve@ievexpo.org"</f>
        <v>0</v>
      </c>
      <c r="L139" s="212">
        <f>"Conference schedule:  http://www.ievexpo.org/site/ieve2018/eng/contents/index.php?mid=0401"</f>
        <v>0</v>
      </c>
      <c r="M139" s="123"/>
      <c r="N139" s="123"/>
      <c r="O139" s="125"/>
      <c r="P139" s="148"/>
      <c r="Q139" s="126" t="s">
        <v>54</v>
      </c>
      <c r="R139" s="213" t="s">
        <v>55</v>
      </c>
      <c r="S139" s="85"/>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row>
    <row r="140" spans="1:64" ht="33.75" customHeight="1">
      <c r="A140" s="112"/>
      <c r="B140" s="148"/>
      <c r="C140" s="143"/>
      <c r="D140" s="148"/>
      <c r="E140" s="239"/>
      <c r="F140" s="148"/>
      <c r="G140" s="240"/>
      <c r="H140" s="217"/>
      <c r="I140" s="119"/>
      <c r="J140" s="120" t="s">
        <v>645</v>
      </c>
      <c r="K140" s="241"/>
      <c r="L140" s="212"/>
      <c r="M140" s="123"/>
      <c r="N140" s="123"/>
      <c r="O140" s="125"/>
      <c r="P140" s="148"/>
      <c r="Q140" s="126"/>
      <c r="R140" s="213"/>
      <c r="S140" s="85"/>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row>
    <row r="141" spans="1:64" ht="18.75" customHeight="1">
      <c r="A141" s="112" t="s">
        <v>646</v>
      </c>
      <c r="B141" s="113" t="s">
        <v>57</v>
      </c>
      <c r="C141" s="267">
        <f>"https://teslasciencecenter.org/events/tower-to-the-people-movie-night/"</f>
        <v>0</v>
      </c>
      <c r="D141" s="115" t="s">
        <v>58</v>
      </c>
      <c r="E141" s="116" t="s">
        <v>647</v>
      </c>
      <c r="F141" s="115" t="s">
        <v>60</v>
      </c>
      <c r="G141" s="314" t="s">
        <v>648</v>
      </c>
      <c r="H141" s="315"/>
      <c r="I141" s="270" t="s">
        <v>649</v>
      </c>
      <c r="J141" s="270"/>
      <c r="K141" s="316" t="s">
        <v>63</v>
      </c>
      <c r="L141" s="272">
        <f>"Membership Information:  http://www.teslasciencecenter.org/become-a-member/"</f>
        <v>0</v>
      </c>
      <c r="M141" s="228" t="s">
        <v>64</v>
      </c>
      <c r="N141" s="229" t="s">
        <v>65</v>
      </c>
      <c r="O141" s="125" t="s">
        <v>66</v>
      </c>
      <c r="P141" s="244">
        <f>"https://teslasciencecenter.org/"</f>
        <v>0</v>
      </c>
      <c r="Q141" s="126" t="s">
        <v>67</v>
      </c>
      <c r="R141" s="127" t="s">
        <v>68</v>
      </c>
      <c r="S141" s="85"/>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row>
    <row r="142" spans="1:64" ht="18.75" customHeight="1">
      <c r="A142" s="112"/>
      <c r="B142" s="113"/>
      <c r="C142" s="267"/>
      <c r="D142" s="115"/>
      <c r="E142" s="116"/>
      <c r="F142" s="115"/>
      <c r="G142" s="314"/>
      <c r="H142" s="315"/>
      <c r="I142" s="270" t="s">
        <v>69</v>
      </c>
      <c r="J142" s="270"/>
      <c r="K142" s="316"/>
      <c r="L142" s="272"/>
      <c r="M142" s="228" t="s">
        <v>70</v>
      </c>
      <c r="N142" s="229" t="s">
        <v>71</v>
      </c>
      <c r="O142" s="125"/>
      <c r="P142" s="244"/>
      <c r="Q142" s="126"/>
      <c r="R142" s="127"/>
      <c r="S142" s="85"/>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row>
    <row r="143" spans="1:64" ht="18.75" customHeight="1">
      <c r="A143" s="112"/>
      <c r="B143" s="113"/>
      <c r="C143" s="267"/>
      <c r="D143" s="115"/>
      <c r="E143" s="116"/>
      <c r="F143" s="115"/>
      <c r="G143" s="314"/>
      <c r="H143" s="315"/>
      <c r="I143" s="270"/>
      <c r="J143" s="270"/>
      <c r="K143" s="316" t="s">
        <v>72</v>
      </c>
      <c r="L143" s="272"/>
      <c r="M143" s="228" t="s">
        <v>73</v>
      </c>
      <c r="N143" s="229" t="s">
        <v>74</v>
      </c>
      <c r="O143" s="125"/>
      <c r="P143" s="244"/>
      <c r="Q143" s="126"/>
      <c r="R143" s="127"/>
      <c r="S143" s="85"/>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row>
    <row r="144" spans="1:64" ht="22.5" customHeight="1">
      <c r="A144" s="112"/>
      <c r="B144" s="113"/>
      <c r="C144" s="267"/>
      <c r="D144" s="115"/>
      <c r="E144" s="116"/>
      <c r="F144" s="115"/>
      <c r="G144" s="314"/>
      <c r="H144" s="315"/>
      <c r="I144" s="270" t="s">
        <v>650</v>
      </c>
      <c r="J144" s="270"/>
      <c r="K144" s="316"/>
      <c r="L144" s="272"/>
      <c r="M144" s="228" t="s">
        <v>76</v>
      </c>
      <c r="N144" s="229" t="s">
        <v>77</v>
      </c>
      <c r="O144" s="125"/>
      <c r="P144" s="244"/>
      <c r="Q144" s="126"/>
      <c r="R144" s="127"/>
      <c r="S144" s="85"/>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row>
    <row r="145" spans="1:19" s="86" customFormat="1" ht="85.5" customHeight="1">
      <c r="A145" s="87" t="s">
        <v>281</v>
      </c>
      <c r="B145" s="88" t="s">
        <v>282</v>
      </c>
      <c r="C145" s="89">
        <f>"https://teslasciencecenter.org/events/tesla-winter-tech-art-camp/"</f>
        <v>0</v>
      </c>
      <c r="D145" s="90" t="s">
        <v>323</v>
      </c>
      <c r="E145" s="91" t="s">
        <v>651</v>
      </c>
      <c r="F145" s="90" t="s">
        <v>652</v>
      </c>
      <c r="G145" s="104" t="s">
        <v>653</v>
      </c>
      <c r="H145" s="132" t="s">
        <v>326</v>
      </c>
      <c r="I145" s="106"/>
      <c r="J145" s="107"/>
      <c r="K145" s="108"/>
      <c r="L145" s="159">
        <f>"Registration:  https://teslasciencecenter.z2systems.com/np/clients/teslasciencecenter/eventRegistration.jsp?event=490&amp;"</f>
        <v>0</v>
      </c>
      <c r="M145" s="317" t="s">
        <v>654</v>
      </c>
      <c r="N145" s="146">
        <f>"Registration:  https://teslasciencecenter.z2systems.com/np/clients/teslasciencecenter/eventRegistration.jsp?event=491&amp;"</f>
        <v>0</v>
      </c>
      <c r="O145" s="99" t="s">
        <v>66</v>
      </c>
      <c r="P145" s="183">
        <f>"https://teslasciencecenter.org/events/"</f>
        <v>0</v>
      </c>
      <c r="Q145" s="100" t="s">
        <v>67</v>
      </c>
      <c r="R145" s="101" t="s">
        <v>68</v>
      </c>
      <c r="S145" s="141"/>
    </row>
    <row r="146" spans="1:19" s="86" customFormat="1" ht="45.75" customHeight="1">
      <c r="A146" s="87" t="s">
        <v>655</v>
      </c>
      <c r="B146" s="88" t="s">
        <v>656</v>
      </c>
      <c r="C146" s="89">
        <f>"https://teslasciencecenter.org/events/wardenclyffe-7th-anniversary-celebration/"</f>
        <v>0</v>
      </c>
      <c r="D146" s="90" t="s">
        <v>657</v>
      </c>
      <c r="E146" s="91" t="s">
        <v>658</v>
      </c>
      <c r="F146" s="90" t="s">
        <v>659</v>
      </c>
      <c r="G146" s="104" t="s">
        <v>660</v>
      </c>
      <c r="H146" s="132"/>
      <c r="I146" s="318"/>
      <c r="J146" s="107"/>
      <c r="K146" s="251"/>
      <c r="L146" s="318" t="s">
        <v>661</v>
      </c>
      <c r="M146" s="319">
        <f>"FREE Registration:  https://teslasciencecenter.z2systems.com/eventReg.jsp?event=491&amp;"</f>
        <v>0</v>
      </c>
      <c r="N146" s="319"/>
      <c r="O146" s="99" t="s">
        <v>66</v>
      </c>
      <c r="P146" s="130" t="s">
        <v>662</v>
      </c>
      <c r="Q146" s="100" t="s">
        <v>67</v>
      </c>
      <c r="R146" s="101" t="s">
        <v>68</v>
      </c>
      <c r="S146" s="141"/>
    </row>
    <row r="147" spans="1:19" s="86" customFormat="1" ht="54" customHeight="1">
      <c r="A147" s="87"/>
      <c r="B147" s="88"/>
      <c r="C147" s="89"/>
      <c r="D147" s="90"/>
      <c r="E147" s="90"/>
      <c r="F147" s="90"/>
      <c r="G147" s="104"/>
      <c r="H147" s="132"/>
      <c r="I147" s="318"/>
      <c r="J147" s="107"/>
      <c r="K147" s="251"/>
      <c r="L147" s="318" t="s">
        <v>663</v>
      </c>
      <c r="M147" s="319">
        <f>"FREE Registration:  https://teslasciencecenter.z2systems.com/np/clients/teslasciencecenter/eventRegistration.jsp?event=496&amp;"</f>
        <v>0</v>
      </c>
      <c r="N147" s="319"/>
      <c r="O147" s="99"/>
      <c r="P147" s="130"/>
      <c r="Q147" s="100"/>
      <c r="R147" s="101"/>
      <c r="S147" s="141"/>
    </row>
    <row r="148" spans="1:19" s="86" customFormat="1" ht="40.5" customHeight="1">
      <c r="A148" s="87"/>
      <c r="B148" s="88"/>
      <c r="C148" s="89"/>
      <c r="D148" s="90"/>
      <c r="E148" s="90"/>
      <c r="F148" s="90"/>
      <c r="G148" s="104"/>
      <c r="H148" s="132"/>
      <c r="I148" s="318"/>
      <c r="J148" s="107"/>
      <c r="K148" s="251"/>
      <c r="L148" s="318" t="s">
        <v>664</v>
      </c>
      <c r="M148" s="319">
        <f>"FREE Registration:  https://teslasciencecenter.z2systems.com/eventReg.jsp?event=501&amp;"</f>
        <v>0</v>
      </c>
      <c r="N148" s="319"/>
      <c r="O148" s="99"/>
      <c r="P148" s="130"/>
      <c r="Q148" s="100"/>
      <c r="R148" s="101"/>
      <c r="S148" s="141"/>
    </row>
    <row r="149" spans="1:64" s="86" customFormat="1" ht="35.25" customHeight="1">
      <c r="A149" s="320" t="s">
        <v>665</v>
      </c>
      <c r="B149" s="321" t="s">
        <v>666</v>
      </c>
      <c r="C149" s="322">
        <f>"http://www.vehits.org/"</f>
        <v>0</v>
      </c>
      <c r="D149" s="323" t="s">
        <v>667</v>
      </c>
      <c r="E149" s="324" t="s">
        <v>668</v>
      </c>
      <c r="F149" s="323" t="s">
        <v>669</v>
      </c>
      <c r="G149" s="325" t="s">
        <v>670</v>
      </c>
      <c r="H149" s="326" t="s">
        <v>671</v>
      </c>
      <c r="I149" s="203"/>
      <c r="J149" s="323"/>
      <c r="K149" s="134">
        <f>"http://www.vehits.org/Contacts.aspx"</f>
        <v>0</v>
      </c>
      <c r="L149" s="327">
        <f>"Guidelines:  http://www.vehits.org/Guidelines.aspx"</f>
        <v>0</v>
      </c>
      <c r="M149" s="328">
        <f>"Submission login: https://www.insticc.org/primoris/DirectLink.aspx?idEvent=mbZ6Jk09CpU=&amp;roleName=AKC6/t1R9Gs=&amp;type=FNiX60z6Am0="</f>
        <v>0</v>
      </c>
      <c r="N149" s="329">
        <f>"Papers due:  2020/01/06 extended from 2019/12/13"</f>
        <v>0</v>
      </c>
      <c r="O149" s="330" t="s">
        <v>519</v>
      </c>
      <c r="P149" s="331">
        <f>"https://www.ieee-itss.org/"</f>
        <v>0</v>
      </c>
      <c r="Q149" s="332" t="s">
        <v>54</v>
      </c>
      <c r="R149" s="333" t="s">
        <v>55</v>
      </c>
      <c r="S149" s="85"/>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row>
    <row r="150" spans="1:64" s="86" customFormat="1" ht="24.75" customHeight="1">
      <c r="A150" s="320"/>
      <c r="B150" s="321"/>
      <c r="C150" s="322"/>
      <c r="D150" s="323"/>
      <c r="E150" s="323"/>
      <c r="F150" s="323"/>
      <c r="G150" s="325"/>
      <c r="H150" s="326"/>
      <c r="I150" s="203"/>
      <c r="J150" s="323"/>
      <c r="K150" s="134"/>
      <c r="L150" s="327">
        <f>"Templates:  http://www.vehits.org/Templates.aspx"</f>
        <v>0</v>
      </c>
      <c r="M150" s="328"/>
      <c r="N150" s="329"/>
      <c r="O150" s="330"/>
      <c r="P150" s="331"/>
      <c r="Q150" s="332"/>
      <c r="R150" s="333"/>
      <c r="S150" s="85"/>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row>
    <row r="151" spans="1:64" s="86" customFormat="1" ht="24.75" customHeight="1">
      <c r="A151" s="320"/>
      <c r="B151" s="321"/>
      <c r="C151" s="322"/>
      <c r="D151" s="323"/>
      <c r="E151" s="323"/>
      <c r="F151" s="323"/>
      <c r="G151" s="325">
        <f>"colocated with:  SmartGreens2020 (http://www.smartgreens.org/)"</f>
        <v>0</v>
      </c>
      <c r="H151" s="326"/>
      <c r="I151" s="203"/>
      <c r="J151" s="323"/>
      <c r="K151" s="134"/>
      <c r="L151" s="327">
        <f>"Glossary:  http://www.vehits.org/Glossary.aspx"</f>
        <v>0</v>
      </c>
      <c r="M151" s="328"/>
      <c r="N151" s="329"/>
      <c r="O151" s="330"/>
      <c r="P151" s="331"/>
      <c r="Q151" s="332"/>
      <c r="R151" s="333"/>
      <c r="S151" s="85"/>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row>
    <row r="152" spans="1:64" s="86" customFormat="1" ht="39" customHeight="1">
      <c r="A152" s="320"/>
      <c r="B152" s="321"/>
      <c r="C152" s="322"/>
      <c r="D152" s="323"/>
      <c r="E152" s="323"/>
      <c r="F152" s="323"/>
      <c r="G152" s="325"/>
      <c r="H152" s="326"/>
      <c r="I152" s="203"/>
      <c r="J152" s="323"/>
      <c r="K152" s="134"/>
      <c r="L152" s="327" t="s">
        <v>672</v>
      </c>
      <c r="M152" s="328"/>
      <c r="N152" s="98" t="s">
        <v>673</v>
      </c>
      <c r="O152" s="330"/>
      <c r="P152" s="331"/>
      <c r="Q152" s="332"/>
      <c r="R152" s="333"/>
      <c r="S152" s="85"/>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row>
    <row r="153" spans="1:64" s="86" customFormat="1" ht="100.5" customHeight="1">
      <c r="A153" s="191" t="s">
        <v>674</v>
      </c>
      <c r="B153" s="191" t="s">
        <v>675</v>
      </c>
      <c r="C153" s="192">
        <f>"https://www.sae.org/learn/content/c1603/"</f>
        <v>0</v>
      </c>
      <c r="D153" s="192" t="s">
        <v>676</v>
      </c>
      <c r="E153" s="334" t="s">
        <v>677</v>
      </c>
      <c r="F153" s="90" t="s">
        <v>455</v>
      </c>
      <c r="G153" s="196" t="s">
        <v>678</v>
      </c>
      <c r="H153" s="335" t="s">
        <v>457</v>
      </c>
      <c r="I153" s="106"/>
      <c r="J153" s="133"/>
      <c r="K153" s="108"/>
      <c r="L153" s="145" t="s">
        <v>679</v>
      </c>
      <c r="M153" s="173" t="s">
        <v>395</v>
      </c>
      <c r="N153" s="336"/>
      <c r="O153" s="99" t="s">
        <v>396</v>
      </c>
      <c r="P153" s="90" t="s">
        <v>397</v>
      </c>
      <c r="Q153" s="100" t="s">
        <v>54</v>
      </c>
      <c r="R153" s="128" t="s">
        <v>55</v>
      </c>
      <c r="S153" s="85"/>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row>
    <row r="154" spans="1:19" s="86" customFormat="1" ht="78.75" customHeight="1">
      <c r="A154" s="87" t="s">
        <v>288</v>
      </c>
      <c r="B154" s="88" t="s">
        <v>289</v>
      </c>
      <c r="C154" s="89">
        <f>"https://mailchi.mp/sharedusemobilitycenter.org/get-eye-opening-mobility-news-and-register-for-our-virtual-summit?e=1c22a840e6"</f>
        <v>0</v>
      </c>
      <c r="D154" s="130" t="s">
        <v>680</v>
      </c>
      <c r="E154" s="91" t="s">
        <v>681</v>
      </c>
      <c r="F154" s="130" t="s">
        <v>292</v>
      </c>
      <c r="G154" s="160" t="s">
        <v>293</v>
      </c>
      <c r="H154" s="132"/>
      <c r="I154" s="106"/>
      <c r="J154" s="107"/>
      <c r="K154" s="134">
        <f>"mailto:info@sharedusemobilitycenter.org"</f>
        <v>0</v>
      </c>
      <c r="L154" s="159"/>
      <c r="M154" s="110"/>
      <c r="N154" s="146"/>
      <c r="O154" s="99" t="s">
        <v>294</v>
      </c>
      <c r="P154" s="130">
        <f>"https://sharedusemobilitycenter.org/"</f>
        <v>0</v>
      </c>
      <c r="Q154" s="100" t="s">
        <v>85</v>
      </c>
      <c r="R154" s="101" t="s">
        <v>86</v>
      </c>
      <c r="S154" s="141"/>
    </row>
    <row r="155" spans="1:19" s="86" customFormat="1" ht="65.25" customHeight="1">
      <c r="A155" s="87"/>
      <c r="B155" s="88"/>
      <c r="C155" s="89">
        <f>"Originally-scheduled conf:  https://sharedusemobilitycenter.org/event/2020-national-shared-mobility-summit/"</f>
        <v>0</v>
      </c>
      <c r="D155" s="130"/>
      <c r="E155" s="91"/>
      <c r="F155" s="91"/>
      <c r="G155" s="160"/>
      <c r="H155" s="132"/>
      <c r="I155" s="106"/>
      <c r="J155" s="107"/>
      <c r="K155" s="134"/>
      <c r="L155" s="159"/>
      <c r="M155" s="110"/>
      <c r="N155" s="146"/>
      <c r="O155" s="99"/>
      <c r="P155" s="130"/>
      <c r="Q155" s="100"/>
      <c r="R155" s="101"/>
      <c r="S155" s="141"/>
    </row>
    <row r="156" spans="1:64" s="86" customFormat="1" ht="58.5" customHeight="1">
      <c r="A156" s="182" t="s">
        <v>682</v>
      </c>
      <c r="B156" s="183">
        <f>"Essential-SBIR"</f>
        <v>0</v>
      </c>
      <c r="C156" s="183">
        <f>"https://register.gotowebinar.com/register/4909141702806142477"</f>
        <v>0</v>
      </c>
      <c r="D156" s="183"/>
      <c r="E156" s="91" t="s">
        <v>683</v>
      </c>
      <c r="F156" s="183" t="s">
        <v>176</v>
      </c>
      <c r="G156" s="184" t="s">
        <v>684</v>
      </c>
      <c r="H156" s="190" t="s">
        <v>685</v>
      </c>
      <c r="I156" s="106"/>
      <c r="J156" s="107"/>
      <c r="K156" s="108"/>
      <c r="L156" s="159"/>
      <c r="M156" s="97"/>
      <c r="N156" s="98"/>
      <c r="O156" s="99"/>
      <c r="P156" s="183"/>
      <c r="Q156" s="100" t="s">
        <v>54</v>
      </c>
      <c r="R156" s="128" t="s">
        <v>55</v>
      </c>
      <c r="S156" s="85"/>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row>
    <row r="157" spans="1:19" s="86" customFormat="1" ht="45.75" customHeight="1">
      <c r="A157" s="87" t="s">
        <v>686</v>
      </c>
      <c r="B157" s="88" t="s">
        <v>687</v>
      </c>
      <c r="C157" s="89">
        <f>"https://chargedevs.com/newswire/webinar-thermal-and-emi-shielding-materials-for-automotive-electronics/"</f>
        <v>0</v>
      </c>
      <c r="D157" s="130"/>
      <c r="E157" s="91" t="s">
        <v>688</v>
      </c>
      <c r="F157" s="90" t="s">
        <v>689</v>
      </c>
      <c r="G157" s="160" t="s">
        <v>690</v>
      </c>
      <c r="H157" s="132" t="s">
        <v>691</v>
      </c>
      <c r="I157" s="106"/>
      <c r="J157" s="107"/>
      <c r="K157" s="134"/>
      <c r="L157" s="159">
        <f>"Resistration:  https://us02web.zoom.us/webinar/register/4215882620051/WN_myZqGm6wRGeTxrAHPHzmzg"</f>
        <v>0</v>
      </c>
      <c r="M157" s="110"/>
      <c r="N157" s="146"/>
      <c r="O157" s="99" t="s">
        <v>153</v>
      </c>
      <c r="P157" s="130">
        <f>"https://chargedevs.com/newswire/"</f>
        <v>0</v>
      </c>
      <c r="Q157" s="100" t="s">
        <v>54</v>
      </c>
      <c r="R157" s="128" t="s">
        <v>55</v>
      </c>
      <c r="S157" s="141"/>
    </row>
    <row r="158" spans="1:19" s="86" customFormat="1" ht="50.25" customHeight="1">
      <c r="A158" s="87"/>
      <c r="B158" s="88"/>
      <c r="C158" s="89"/>
      <c r="D158" s="130"/>
      <c r="E158" s="91"/>
      <c r="F158" s="91"/>
      <c r="G158" s="160"/>
      <c r="H158" s="132" t="s">
        <v>692</v>
      </c>
      <c r="I158" s="106"/>
      <c r="J158" s="107"/>
      <c r="K158" s="134"/>
      <c r="L158" s="159"/>
      <c r="M158" s="110"/>
      <c r="N158" s="146"/>
      <c r="O158" s="99"/>
      <c r="P158" s="130"/>
      <c r="Q158" s="100"/>
      <c r="R158" s="128"/>
      <c r="S158" s="141"/>
    </row>
    <row r="159" spans="1:64" ht="85.5" customHeight="1">
      <c r="A159" s="112" t="s">
        <v>281</v>
      </c>
      <c r="B159" s="113" t="s">
        <v>282</v>
      </c>
      <c r="C159" s="143">
        <f>"https://teslasciencecenter.org/events/tesla-winter-tech-art-camp/"</f>
        <v>0</v>
      </c>
      <c r="D159" s="115" t="s">
        <v>323</v>
      </c>
      <c r="E159" s="116" t="s">
        <v>693</v>
      </c>
      <c r="F159" s="115" t="s">
        <v>652</v>
      </c>
      <c r="G159" s="117" t="s">
        <v>653</v>
      </c>
      <c r="H159" s="217" t="s">
        <v>326</v>
      </c>
      <c r="I159" s="119"/>
      <c r="J159" s="120"/>
      <c r="K159" s="121"/>
      <c r="L159" s="212">
        <f>"Registration:  https://teslasciencecenter.z2systems.com/np/clients/teslasciencecenter/eventRegistration.jsp?event=485&amp;"</f>
        <v>0</v>
      </c>
      <c r="M159" s="337" t="s">
        <v>333</v>
      </c>
      <c r="N159" s="338">
        <f>"Registration:  https://teslasciencecenter.z2systems.com/np/clients/teslasciencecenter/eventRegistration.jsp?event=424&amp;"</f>
        <v>0</v>
      </c>
      <c r="O159" s="125" t="s">
        <v>66</v>
      </c>
      <c r="P159" s="148">
        <f>"https://teslasciencecenter.org/events/"</f>
        <v>0</v>
      </c>
      <c r="Q159" s="126" t="s">
        <v>67</v>
      </c>
      <c r="R159" s="127" t="s">
        <v>68</v>
      </c>
      <c r="S159" s="141"/>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row>
    <row r="160" spans="1:64" ht="26.25" customHeight="1">
      <c r="A160" s="112" t="s">
        <v>694</v>
      </c>
      <c r="B160" s="113" t="s">
        <v>695</v>
      </c>
      <c r="C160" s="339" t="s">
        <v>696</v>
      </c>
      <c r="D160" s="115" t="s">
        <v>697</v>
      </c>
      <c r="E160" s="116" t="s">
        <v>698</v>
      </c>
      <c r="F160" s="115" t="s">
        <v>699</v>
      </c>
      <c r="G160" s="240" t="s">
        <v>700</v>
      </c>
      <c r="H160" s="308"/>
      <c r="I160" s="119"/>
      <c r="J160" s="120"/>
      <c r="K160" s="340" t="s">
        <v>701</v>
      </c>
      <c r="L160" s="341">
        <f>"https://www.actexpo.com/abstracts"</f>
        <v>0</v>
      </c>
      <c r="M160" s="342">
        <f>"mailto:abstracts@actexpo.com"</f>
        <v>0</v>
      </c>
      <c r="N160" s="343" t="s">
        <v>702</v>
      </c>
      <c r="O160" s="125" t="s">
        <v>703</v>
      </c>
      <c r="P160" s="115" t="s">
        <v>704</v>
      </c>
      <c r="Q160" s="126" t="s">
        <v>85</v>
      </c>
      <c r="R160" s="127" t="s">
        <v>86</v>
      </c>
      <c r="S160" s="85"/>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row>
    <row r="161" spans="1:64" ht="26.25" customHeight="1">
      <c r="A161" s="112"/>
      <c r="B161" s="113"/>
      <c r="C161" s="339"/>
      <c r="D161" s="115"/>
      <c r="E161" s="116"/>
      <c r="F161" s="115"/>
      <c r="G161" s="240"/>
      <c r="H161" s="308"/>
      <c r="I161" s="119"/>
      <c r="J161" s="120"/>
      <c r="K161" s="340"/>
      <c r="L161" s="344">
        <f>"News:  https://www.actexpo.com/news"</f>
        <v>0</v>
      </c>
      <c r="M161" s="344"/>
      <c r="N161" s="343"/>
      <c r="O161" s="125"/>
      <c r="P161" s="115"/>
      <c r="Q161" s="126"/>
      <c r="R161" s="127"/>
      <c r="S161" s="85"/>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row>
    <row r="162" spans="1:64" ht="26.25" customHeight="1">
      <c r="A162" s="112"/>
      <c r="B162" s="113"/>
      <c r="C162" s="339"/>
      <c r="D162" s="115"/>
      <c r="E162" s="116"/>
      <c r="F162" s="115"/>
      <c r="G162" s="240"/>
      <c r="H162" s="308"/>
      <c r="I162" s="119"/>
      <c r="J162" s="120"/>
      <c r="K162" s="340"/>
      <c r="L162" s="344">
        <f>"Sign up for updates:  http://learn.actexpo.com/subscribe"</f>
        <v>0</v>
      </c>
      <c r="M162" s="344"/>
      <c r="N162" s="343"/>
      <c r="O162" s="125"/>
      <c r="P162" s="115"/>
      <c r="Q162" s="126"/>
      <c r="R162" s="127"/>
      <c r="S162" s="85"/>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row>
    <row r="163" spans="1:64" ht="21.75" customHeight="1">
      <c r="A163" s="112"/>
      <c r="B163" s="113"/>
      <c r="C163" s="339"/>
      <c r="D163" s="115"/>
      <c r="E163" s="116" t="s">
        <v>705</v>
      </c>
      <c r="F163" s="115"/>
      <c r="G163" s="240"/>
      <c r="H163" s="308"/>
      <c r="I163" s="119"/>
      <c r="J163" s="120"/>
      <c r="K163" s="340"/>
      <c r="L163" s="344">
        <f>"To get Brochure:  http://learn.actexpo.com/eventoverview"</f>
        <v>0</v>
      </c>
      <c r="M163" s="344"/>
      <c r="N163" s="345"/>
      <c r="O163" s="125"/>
      <c r="P163" s="115"/>
      <c r="Q163" s="126"/>
      <c r="R163" s="127"/>
      <c r="S163" s="85"/>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row>
    <row r="164" spans="1:64" ht="21.75" customHeight="1">
      <c r="A164" s="112"/>
      <c r="B164" s="113"/>
      <c r="C164" s="339"/>
      <c r="D164" s="115"/>
      <c r="E164" s="116"/>
      <c r="F164" s="115"/>
      <c r="G164" s="240"/>
      <c r="H164" s="308"/>
      <c r="I164" s="119"/>
      <c r="J164" s="120"/>
      <c r="K164" s="340"/>
      <c r="L164" s="344">
        <f>"Agenda:  https://www.actexpo.com/agenda"</f>
        <v>0</v>
      </c>
      <c r="M164" s="344"/>
      <c r="N164" s="343"/>
      <c r="O164" s="125"/>
      <c r="P164" s="115"/>
      <c r="Q164" s="126"/>
      <c r="R164" s="127"/>
      <c r="S164" s="85"/>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row>
    <row r="165" spans="1:64" ht="21.75" customHeight="1">
      <c r="A165" s="112"/>
      <c r="B165" s="113"/>
      <c r="C165" s="339"/>
      <c r="D165" s="115"/>
      <c r="E165" s="116"/>
      <c r="F165" s="115"/>
      <c r="G165" s="240"/>
      <c r="H165" s="308"/>
      <c r="I165" s="119"/>
      <c r="J165" s="120"/>
      <c r="K165" s="340"/>
      <c r="L165" s="344">
        <f>"Agenda Track:  https://www.actexpo.com/agenda-track"</f>
        <v>0</v>
      </c>
      <c r="M165" s="344"/>
      <c r="N165" s="345"/>
      <c r="O165" s="125"/>
      <c r="P165" s="115"/>
      <c r="Q165" s="126"/>
      <c r="R165" s="127"/>
      <c r="S165" s="85"/>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row>
    <row r="166" spans="1:64" ht="26.25" customHeight="1">
      <c r="A166" s="112"/>
      <c r="B166" s="113"/>
      <c r="C166" s="339"/>
      <c r="D166" s="115"/>
      <c r="E166" s="116" t="s">
        <v>706</v>
      </c>
      <c r="F166" s="115"/>
      <c r="G166" s="240"/>
      <c r="H166" s="308"/>
      <c r="I166" s="119"/>
      <c r="J166" s="120"/>
      <c r="K166" s="340"/>
      <c r="L166" s="344">
        <f>"Expo Hall:  https://www.actexpo.com/expohall"</f>
        <v>0</v>
      </c>
      <c r="M166" s="344"/>
      <c r="N166" s="342"/>
      <c r="O166" s="125"/>
      <c r="P166" s="115"/>
      <c r="Q166" s="126"/>
      <c r="R166" s="127"/>
      <c r="S166" s="85"/>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row>
    <row r="167" spans="1:64" ht="26.25" customHeight="1">
      <c r="A167" s="112"/>
      <c r="B167" s="113"/>
      <c r="C167" s="339"/>
      <c r="D167" s="115"/>
      <c r="E167" s="116"/>
      <c r="F167" s="115"/>
      <c r="G167" s="240"/>
      <c r="H167" s="308"/>
      <c r="I167" s="119"/>
      <c r="J167" s="120"/>
      <c r="K167" s="340"/>
      <c r="L167" s="344">
        <f>"Exhibitors&amp;rsquo; / Sponsors&amp;rsquo; info:  https://www.actexpo.com/sponsor-exhibit-why"</f>
        <v>0</v>
      </c>
      <c r="M167" s="344"/>
      <c r="N167" s="280"/>
      <c r="O167" s="125"/>
      <c r="P167" s="115"/>
      <c r="Q167" s="126"/>
      <c r="R167" s="127"/>
      <c r="S167" s="85"/>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row>
    <row r="168" spans="1:18" ht="38.25" customHeight="1">
      <c r="A168" s="112" t="s">
        <v>707</v>
      </c>
      <c r="B168" s="115" t="s">
        <v>708</v>
      </c>
      <c r="C168" s="143">
        <f>"http://www.altcarexposac.com/"</f>
        <v>0</v>
      </c>
      <c r="D168" s="115" t="s">
        <v>163</v>
      </c>
      <c r="E168" s="116" t="s">
        <v>709</v>
      </c>
      <c r="F168" s="115" t="s">
        <v>710</v>
      </c>
      <c r="G168" s="346">
        <f>"&amp;hellip where both industry and the general public can discover all of the existing alternatives to the way they use energy and transportation."</f>
        <v>0</v>
      </c>
      <c r="H168" s="308"/>
      <c r="I168" s="119" t="s">
        <v>711</v>
      </c>
      <c r="J168" s="256" t="s">
        <v>712</v>
      </c>
      <c r="K168" s="121">
        <f>"mailto:info@altcarexpo.com"</f>
        <v>0</v>
      </c>
      <c r="L168" s="119" t="s">
        <v>713</v>
      </c>
      <c r="M168" s="219">
        <f>"Registration form:  http://www.altcarexposac.com/breakfast-conference-registration"</f>
        <v>0</v>
      </c>
      <c r="N168" s="219"/>
      <c r="O168" s="222" t="s">
        <v>714</v>
      </c>
      <c r="P168" s="115">
        <f>"http://www.altcarexpo.com/"</f>
        <v>0</v>
      </c>
      <c r="Q168" s="223" t="s">
        <v>85</v>
      </c>
      <c r="R168" s="347" t="s">
        <v>86</v>
      </c>
    </row>
    <row r="169" spans="1:64" ht="15.75" customHeight="1">
      <c r="A169" s="112"/>
      <c r="B169" s="115"/>
      <c r="C169" s="115"/>
      <c r="D169" s="115"/>
      <c r="E169" s="115"/>
      <c r="F169" s="115"/>
      <c r="G169" s="346"/>
      <c r="H169" s="308"/>
      <c r="I169" s="348" t="s">
        <v>715</v>
      </c>
      <c r="J169" s="219"/>
      <c r="K169" s="349">
        <f>"http://www.altcarexposac.com/join-mailing-list"</f>
        <v>0</v>
      </c>
      <c r="L169" s="231" t="s">
        <v>716</v>
      </c>
      <c r="M169" s="219">
        <f>"http://www.altcarexposac.com/expo"</f>
        <v>0</v>
      </c>
      <c r="N169" s="219"/>
      <c r="O169" s="222"/>
      <c r="P169" s="115"/>
      <c r="Q169" s="223"/>
      <c r="R169" s="347"/>
      <c r="S169" s="85"/>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row>
    <row r="170" spans="1:64" ht="26.25" customHeight="1">
      <c r="A170" s="112"/>
      <c r="B170" s="115"/>
      <c r="C170" s="115"/>
      <c r="D170" s="115"/>
      <c r="E170" s="115"/>
      <c r="F170" s="115"/>
      <c r="G170" s="346"/>
      <c r="H170" s="308"/>
      <c r="I170" s="348"/>
      <c r="J170" s="219"/>
      <c r="K170" s="349"/>
      <c r="L170" s="231" t="s">
        <v>717</v>
      </c>
      <c r="M170" s="219">
        <f>"http://www.altcarexposac.com/ride-drive  11:00  – 14:00"</f>
        <v>0</v>
      </c>
      <c r="N170" s="219"/>
      <c r="O170" s="222"/>
      <c r="P170" s="115"/>
      <c r="Q170" s="223"/>
      <c r="R170" s="347"/>
      <c r="S170" s="85"/>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row>
    <row r="171" spans="1:64" ht="61.5" customHeight="1">
      <c r="A171" s="112" t="s">
        <v>718</v>
      </c>
      <c r="B171" s="113" t="s">
        <v>719</v>
      </c>
      <c r="C171" s="143">
        <f>"https://www.sae.org/learn/content/c2006/"</f>
        <v>0</v>
      </c>
      <c r="D171" s="148" t="s">
        <v>720</v>
      </c>
      <c r="E171" s="116" t="s">
        <v>721</v>
      </c>
      <c r="F171" s="148" t="s">
        <v>722</v>
      </c>
      <c r="G171" s="240" t="s">
        <v>723</v>
      </c>
      <c r="H171" s="217" t="s">
        <v>724</v>
      </c>
      <c r="I171" s="215" t="s">
        <v>725</v>
      </c>
      <c r="J171" s="120"/>
      <c r="K171" s="121"/>
      <c r="L171" s="350" t="s">
        <v>726</v>
      </c>
      <c r="M171" s="237" t="s">
        <v>395</v>
      </c>
      <c r="N171" s="238"/>
      <c r="O171" s="125" t="s">
        <v>396</v>
      </c>
      <c r="P171" s="148">
        <f>"https://www.sae.org/learn/professional-development"</f>
        <v>0</v>
      </c>
      <c r="Q171" s="126" t="s">
        <v>54</v>
      </c>
      <c r="R171" s="213" t="s">
        <v>55</v>
      </c>
      <c r="S171" s="85"/>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row>
    <row r="172" spans="1:64" ht="36" customHeight="1">
      <c r="A172" s="112" t="s">
        <v>727</v>
      </c>
      <c r="B172" s="115" t="s">
        <v>728</v>
      </c>
      <c r="C172" s="115">
        <f>"https://itseuropeancongress.com/"</f>
        <v>0</v>
      </c>
      <c r="D172" s="115" t="s">
        <v>729</v>
      </c>
      <c r="E172" s="116" t="s">
        <v>730</v>
      </c>
      <c r="F172" s="115" t="s">
        <v>731</v>
      </c>
      <c r="G172" s="117" t="s">
        <v>732</v>
      </c>
      <c r="H172" s="351"/>
      <c r="I172" s="348"/>
      <c r="J172" s="256"/>
      <c r="K172" s="349">
        <f>"Why Attend:  https://itseuropeancongress.com/what-to-expect/"</f>
        <v>0</v>
      </c>
      <c r="L172" s="352">
        <f>"https://erticonetwork.com/its-european-congress-2020-call-for-contributions-now-open/"</f>
        <v>0</v>
      </c>
      <c r="M172" s="148">
        <f>"Portal:  https://programme.itsineurope2020.com/login"</f>
        <v>0</v>
      </c>
      <c r="N172" s="353" t="s">
        <v>733</v>
      </c>
      <c r="O172" s="222" t="s">
        <v>734</v>
      </c>
      <c r="P172" s="244">
        <f>"https://itsineurope.com/"</f>
        <v>0</v>
      </c>
      <c r="Q172" s="223" t="s">
        <v>54</v>
      </c>
      <c r="R172" s="224" t="s">
        <v>55</v>
      </c>
      <c r="S172" s="354"/>
      <c r="T172" s="355"/>
      <c r="U172" s="355"/>
      <c r="V172" s="355"/>
      <c r="W172" s="355"/>
      <c r="X172" s="355"/>
      <c r="Y172" s="355"/>
      <c r="Z172" s="355"/>
      <c r="AA172" s="355"/>
      <c r="AB172" s="355"/>
      <c r="AC172" s="355"/>
      <c r="AD172" s="355"/>
      <c r="AE172" s="355"/>
      <c r="AF172" s="355"/>
      <c r="AG172" s="355"/>
      <c r="AH172" s="355"/>
      <c r="AI172" s="355"/>
      <c r="AJ172" s="355"/>
      <c r="AK172" s="355"/>
      <c r="AL172" s="355"/>
      <c r="AM172" s="355"/>
      <c r="AN172" s="355"/>
      <c r="AO172" s="355"/>
      <c r="AP172" s="355"/>
      <c r="AQ172" s="355"/>
      <c r="AR172" s="355"/>
      <c r="AS172" s="355"/>
      <c r="AT172" s="355"/>
      <c r="AU172" s="355"/>
      <c r="AV172" s="355"/>
      <c r="AW172" s="355"/>
      <c r="AX172" s="355"/>
      <c r="AY172" s="355"/>
      <c r="AZ172" s="355"/>
      <c r="BA172" s="355"/>
      <c r="BB172" s="355"/>
      <c r="BC172" s="355"/>
      <c r="BD172" s="355"/>
      <c r="BE172" s="355"/>
      <c r="BF172" s="355"/>
      <c r="BG172" s="355"/>
      <c r="BH172" s="355"/>
      <c r="BI172" s="355"/>
      <c r="BJ172" s="355"/>
      <c r="BK172" s="355"/>
      <c r="BL172" s="355"/>
    </row>
    <row r="173" spans="1:64" ht="25.5" customHeight="1">
      <c r="A173" s="112"/>
      <c r="B173" s="115"/>
      <c r="C173" s="115"/>
      <c r="D173" s="115"/>
      <c r="E173" s="116"/>
      <c r="F173" s="115"/>
      <c r="G173" s="117"/>
      <c r="H173" s="351"/>
      <c r="I173" s="348"/>
      <c r="J173" s="256"/>
      <c r="K173" s="349"/>
      <c r="L173" s="352">
        <f>"https://itseuropeancongress.com/submissions/"</f>
        <v>0</v>
      </c>
      <c r="M173" s="148" t="s">
        <v>735</v>
      </c>
      <c r="N173" s="353"/>
      <c r="O173" s="222"/>
      <c r="P173" s="244"/>
      <c r="Q173" s="223"/>
      <c r="R173" s="224"/>
      <c r="S173" s="354"/>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355"/>
      <c r="AR173" s="355"/>
      <c r="AS173" s="355"/>
      <c r="AT173" s="355"/>
      <c r="AU173" s="355"/>
      <c r="AV173" s="355"/>
      <c r="AW173" s="355"/>
      <c r="AX173" s="355"/>
      <c r="AY173" s="355"/>
      <c r="AZ173" s="355"/>
      <c r="BA173" s="355"/>
      <c r="BB173" s="355"/>
      <c r="BC173" s="355"/>
      <c r="BD173" s="355"/>
      <c r="BE173" s="355"/>
      <c r="BF173" s="355"/>
      <c r="BG173" s="355"/>
      <c r="BH173" s="355"/>
      <c r="BI173" s="355"/>
      <c r="BJ173" s="355"/>
      <c r="BK173" s="355"/>
      <c r="BL173" s="355"/>
    </row>
    <row r="174" spans="1:64" ht="50.25" customHeight="1">
      <c r="A174" s="112"/>
      <c r="B174" s="115"/>
      <c r="C174" s="115"/>
      <c r="D174" s="115"/>
      <c r="E174" s="116"/>
      <c r="F174" s="115"/>
      <c r="G174" s="117"/>
      <c r="H174" s="351"/>
      <c r="I174" s="348"/>
      <c r="J174" s="256"/>
      <c r="K174" s="349"/>
      <c r="L174" s="352">
        <f>"Brochure:  https://itseuropeancongress.com/wp-content/uploads/2019/09/Call-for-Contributions_final.pdf"</f>
        <v>0</v>
      </c>
      <c r="M174" s="148"/>
      <c r="N174" s="353"/>
      <c r="O174" s="222"/>
      <c r="P174" s="244"/>
      <c r="Q174" s="223"/>
      <c r="R174" s="224"/>
      <c r="S174" s="354"/>
      <c r="T174" s="355"/>
      <c r="U174" s="355"/>
      <c r="V174" s="355"/>
      <c r="W174" s="355"/>
      <c r="X174" s="355"/>
      <c r="Y174" s="355"/>
      <c r="Z174" s="355"/>
      <c r="AA174" s="355"/>
      <c r="AB174" s="355"/>
      <c r="AC174" s="355"/>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5"/>
      <c r="AY174" s="355"/>
      <c r="AZ174" s="355"/>
      <c r="BA174" s="355"/>
      <c r="BB174" s="355"/>
      <c r="BC174" s="355"/>
      <c r="BD174" s="355"/>
      <c r="BE174" s="355"/>
      <c r="BF174" s="355"/>
      <c r="BG174" s="355"/>
      <c r="BH174" s="355"/>
      <c r="BI174" s="355"/>
      <c r="BJ174" s="355"/>
      <c r="BK174" s="355"/>
      <c r="BL174" s="355"/>
    </row>
    <row r="175" spans="1:64" ht="41.25" customHeight="1">
      <c r="A175" s="112"/>
      <c r="B175" s="115"/>
      <c r="C175" s="115"/>
      <c r="D175" s="115"/>
      <c r="E175" s="116"/>
      <c r="F175" s="115"/>
      <c r="G175" s="117"/>
      <c r="H175" s="351"/>
      <c r="I175" s="348"/>
      <c r="J175" s="256"/>
      <c r="K175" s="349"/>
      <c r="L175" s="356">
        <f>"Demonstrations:  https://itseuropeancongress.com/demonstrations/"</f>
        <v>0</v>
      </c>
      <c r="M175" s="357">
        <f>"Brochure:  https://itseuropeancongress.com/wp-content/uploads/2019/09/ITS-Lisbon-Demonstrations-brochure..pdf"</f>
        <v>0</v>
      </c>
      <c r="N175" s="357">
        <f>"Initial Proposal:  2019/12/19"</f>
        <v>0</v>
      </c>
      <c r="O175" s="222"/>
      <c r="P175" s="244"/>
      <c r="Q175" s="223"/>
      <c r="R175" s="224"/>
      <c r="S175" s="354"/>
      <c r="T175" s="355"/>
      <c r="U175" s="355"/>
      <c r="V175" s="355"/>
      <c r="W175" s="355"/>
      <c r="X175" s="355"/>
      <c r="Y175" s="355"/>
      <c r="Z175" s="355"/>
      <c r="AA175" s="355"/>
      <c r="AB175" s="355"/>
      <c r="AC175" s="355"/>
      <c r="AD175" s="355"/>
      <c r="AE175" s="355"/>
      <c r="AF175" s="355"/>
      <c r="AG175" s="355"/>
      <c r="AH175" s="355"/>
      <c r="AI175" s="355"/>
      <c r="AJ175" s="355"/>
      <c r="AK175" s="355"/>
      <c r="AL175" s="355"/>
      <c r="AM175" s="355"/>
      <c r="AN175" s="355"/>
      <c r="AO175" s="355"/>
      <c r="AP175" s="355"/>
      <c r="AQ175" s="355"/>
      <c r="AR175" s="355"/>
      <c r="AS175" s="355"/>
      <c r="AT175" s="355"/>
      <c r="AU175" s="355"/>
      <c r="AV175" s="355"/>
      <c r="AW175" s="355"/>
      <c r="AX175" s="355"/>
      <c r="AY175" s="355"/>
      <c r="AZ175" s="355"/>
      <c r="BA175" s="355"/>
      <c r="BB175" s="355"/>
      <c r="BC175" s="355"/>
      <c r="BD175" s="355"/>
      <c r="BE175" s="355"/>
      <c r="BF175" s="355"/>
      <c r="BG175" s="355"/>
      <c r="BH175" s="355"/>
      <c r="BI175" s="355"/>
      <c r="BJ175" s="355"/>
      <c r="BK175" s="355"/>
      <c r="BL175" s="355"/>
    </row>
    <row r="176" spans="1:64" ht="63.75" customHeight="1">
      <c r="A176" s="112"/>
      <c r="B176" s="115"/>
      <c r="C176" s="115"/>
      <c r="D176" s="115"/>
      <c r="E176" s="116"/>
      <c r="F176" s="115"/>
      <c r="G176" s="117"/>
      <c r="H176" s="351"/>
      <c r="I176" s="348"/>
      <c r="J176" s="256"/>
      <c r="K176" s="349"/>
      <c r="L176" s="356">
        <f>"Application for Demo:  https://docs.google.com/forms/d/e/1FAIpQLSc9yHeVDnCYjRa1Rqsa-ZtpeGW95zObJXHN3MN9XUdLyakUzw/viewform"</f>
        <v>0</v>
      </c>
      <c r="M176" s="357"/>
      <c r="N176" s="357"/>
      <c r="O176" s="222"/>
      <c r="P176" s="244"/>
      <c r="Q176" s="223"/>
      <c r="R176" s="224"/>
      <c r="S176" s="354"/>
      <c r="T176" s="355"/>
      <c r="U176" s="355"/>
      <c r="V176" s="355"/>
      <c r="W176" s="355"/>
      <c r="X176" s="355"/>
      <c r="Y176" s="355"/>
      <c r="Z176" s="355"/>
      <c r="AA176" s="355"/>
      <c r="AB176" s="355"/>
      <c r="AC176" s="355"/>
      <c r="AD176" s="355"/>
      <c r="AE176" s="355"/>
      <c r="AF176" s="355"/>
      <c r="AG176" s="355"/>
      <c r="AH176" s="355"/>
      <c r="AI176" s="355"/>
      <c r="AJ176" s="355"/>
      <c r="AK176" s="355"/>
      <c r="AL176" s="355"/>
      <c r="AM176" s="355"/>
      <c r="AN176" s="355"/>
      <c r="AO176" s="355"/>
      <c r="AP176" s="355"/>
      <c r="AQ176" s="355"/>
      <c r="AR176" s="355"/>
      <c r="AS176" s="355"/>
      <c r="AT176" s="355"/>
      <c r="AU176" s="355"/>
      <c r="AV176" s="355"/>
      <c r="AW176" s="355"/>
      <c r="AX176" s="355"/>
      <c r="AY176" s="355"/>
      <c r="AZ176" s="355"/>
      <c r="BA176" s="355"/>
      <c r="BB176" s="355"/>
      <c r="BC176" s="355"/>
      <c r="BD176" s="355"/>
      <c r="BE176" s="355"/>
      <c r="BF176" s="355"/>
      <c r="BG176" s="355"/>
      <c r="BH176" s="355"/>
      <c r="BI176" s="355"/>
      <c r="BJ176" s="355"/>
      <c r="BK176" s="355"/>
      <c r="BL176" s="355"/>
    </row>
    <row r="177" spans="1:64" ht="38.25" customHeight="1">
      <c r="A177" s="112"/>
      <c r="B177" s="115"/>
      <c r="C177" s="115"/>
      <c r="D177" s="115"/>
      <c r="E177" s="116"/>
      <c r="F177" s="115"/>
      <c r="G177" s="117"/>
      <c r="H177" s="351"/>
      <c r="I177" s="348"/>
      <c r="J177" s="256"/>
      <c r="K177" s="349"/>
      <c r="L177" s="352">
        <f>"Technical Visits:  https://itseuropeancongress.com/technical-visits/"</f>
        <v>0</v>
      </c>
      <c r="M177" s="358"/>
      <c r="N177" s="358"/>
      <c r="O177" s="222"/>
      <c r="P177" s="244"/>
      <c r="Q177" s="223"/>
      <c r="R177" s="224"/>
      <c r="S177" s="354"/>
      <c r="T177" s="355"/>
      <c r="U177" s="355"/>
      <c r="V177" s="355"/>
      <c r="W177" s="355"/>
      <c r="X177" s="355"/>
      <c r="Y177" s="355"/>
      <c r="Z177" s="355"/>
      <c r="AA177" s="355"/>
      <c r="AB177" s="355"/>
      <c r="AC177" s="355"/>
      <c r="AD177" s="355"/>
      <c r="AE177" s="355"/>
      <c r="AF177" s="355"/>
      <c r="AG177" s="355"/>
      <c r="AH177" s="355"/>
      <c r="AI177" s="355"/>
      <c r="AJ177" s="355"/>
      <c r="AK177" s="355"/>
      <c r="AL177" s="355"/>
      <c r="AM177" s="355"/>
      <c r="AN177" s="355"/>
      <c r="AO177" s="355"/>
      <c r="AP177" s="355"/>
      <c r="AQ177" s="355"/>
      <c r="AR177" s="355"/>
      <c r="AS177" s="355"/>
      <c r="AT177" s="355"/>
      <c r="AU177" s="355"/>
      <c r="AV177" s="355"/>
      <c r="AW177" s="355"/>
      <c r="AX177" s="355"/>
      <c r="AY177" s="355"/>
      <c r="AZ177" s="355"/>
      <c r="BA177" s="355"/>
      <c r="BB177" s="355"/>
      <c r="BC177" s="355"/>
      <c r="BD177" s="355"/>
      <c r="BE177" s="355"/>
      <c r="BF177" s="355"/>
      <c r="BG177" s="355"/>
      <c r="BH177" s="355"/>
      <c r="BI177" s="355"/>
      <c r="BJ177" s="355"/>
      <c r="BK177" s="355"/>
      <c r="BL177" s="355"/>
    </row>
    <row r="178" spans="1:64" s="86" customFormat="1" ht="43.5" customHeight="1">
      <c r="A178" s="87" t="s">
        <v>736</v>
      </c>
      <c r="B178" s="90" t="s">
        <v>737</v>
      </c>
      <c r="C178" s="90">
        <f>"https://register.gotowebinar.com/register/7846636550856300812?source=Email&amp;mkt_tok=eyJpIjoiWW1GaVlXVmtNakpqTmpZeSIsInQiOiJ3XC81ZkhvdVJyajNES21QcURmTnVXZktDeWpIbVVVOUhvN1RoVFdcL3dMMW9PbE9yR1FRWm1uQUpjSUNjXC85dktNZzZlOVFZdWlYcitsU1QrY1phejdvdUdBU0FVVDNtRGtG"</f>
        <v>0</v>
      </c>
      <c r="D178" s="90"/>
      <c r="E178" s="91" t="s">
        <v>738</v>
      </c>
      <c r="F178" s="90" t="s">
        <v>739</v>
      </c>
      <c r="G178" s="104" t="s">
        <v>740</v>
      </c>
      <c r="H178" s="168" t="s">
        <v>741</v>
      </c>
      <c r="I178" s="318"/>
      <c r="J178" s="198"/>
      <c r="K178" s="251"/>
      <c r="L178" s="199"/>
      <c r="M178" s="130"/>
      <c r="N178" s="130"/>
      <c r="O178" s="99" t="s">
        <v>214</v>
      </c>
      <c r="P178" s="130">
        <f>"https://energycenter.org/"</f>
        <v>0</v>
      </c>
      <c r="Q178" s="100" t="s">
        <v>54</v>
      </c>
      <c r="R178" s="128" t="s">
        <v>55</v>
      </c>
      <c r="S178" s="354"/>
      <c r="T178" s="355"/>
      <c r="U178" s="355"/>
      <c r="V178" s="355"/>
      <c r="W178" s="355"/>
      <c r="X178" s="355"/>
      <c r="Y178" s="355"/>
      <c r="Z178" s="355"/>
      <c r="AA178" s="355"/>
      <c r="AB178" s="355"/>
      <c r="AC178" s="355"/>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5"/>
      <c r="AY178" s="355"/>
      <c r="AZ178" s="355"/>
      <c r="BA178" s="355"/>
      <c r="BB178" s="355"/>
      <c r="BC178" s="355"/>
      <c r="BD178" s="355"/>
      <c r="BE178" s="355"/>
      <c r="BF178" s="355"/>
      <c r="BG178" s="355"/>
      <c r="BH178" s="355"/>
      <c r="BI178" s="355"/>
      <c r="BJ178" s="355"/>
      <c r="BK178" s="355"/>
      <c r="BL178" s="355"/>
    </row>
    <row r="179" spans="1:64" s="86" customFormat="1" ht="43.5" customHeight="1">
      <c r="A179" s="87"/>
      <c r="B179" s="90"/>
      <c r="C179" s="90"/>
      <c r="D179" s="90"/>
      <c r="E179" s="90"/>
      <c r="F179" s="90"/>
      <c r="G179" s="104"/>
      <c r="H179" s="168" t="s">
        <v>742</v>
      </c>
      <c r="I179" s="318"/>
      <c r="J179" s="198"/>
      <c r="K179" s="251"/>
      <c r="L179" s="199"/>
      <c r="M179" s="130"/>
      <c r="N179" s="130"/>
      <c r="O179" s="99"/>
      <c r="P179" s="130"/>
      <c r="Q179" s="100"/>
      <c r="R179" s="128"/>
      <c r="S179" s="354"/>
      <c r="T179" s="355"/>
      <c r="U179" s="355"/>
      <c r="V179" s="355"/>
      <c r="W179" s="355"/>
      <c r="X179" s="355"/>
      <c r="Y179" s="355"/>
      <c r="Z179" s="355"/>
      <c r="AA179" s="355"/>
      <c r="AB179" s="355"/>
      <c r="AC179" s="355"/>
      <c r="AD179" s="355"/>
      <c r="AE179" s="355"/>
      <c r="AF179" s="355"/>
      <c r="AG179" s="355"/>
      <c r="AH179" s="355"/>
      <c r="AI179" s="355"/>
      <c r="AJ179" s="355"/>
      <c r="AK179" s="355"/>
      <c r="AL179" s="355"/>
      <c r="AM179" s="355"/>
      <c r="AN179" s="355"/>
      <c r="AO179" s="355"/>
      <c r="AP179" s="355"/>
      <c r="AQ179" s="355"/>
      <c r="AR179" s="355"/>
      <c r="AS179" s="355"/>
      <c r="AT179" s="355"/>
      <c r="AU179" s="355"/>
      <c r="AV179" s="355"/>
      <c r="AW179" s="355"/>
      <c r="AX179" s="355"/>
      <c r="AY179" s="355"/>
      <c r="AZ179" s="355"/>
      <c r="BA179" s="355"/>
      <c r="BB179" s="355"/>
      <c r="BC179" s="355"/>
      <c r="BD179" s="355"/>
      <c r="BE179" s="355"/>
      <c r="BF179" s="355"/>
      <c r="BG179" s="355"/>
      <c r="BH179" s="355"/>
      <c r="BI179" s="355"/>
      <c r="BJ179" s="355"/>
      <c r="BK179" s="355"/>
      <c r="BL179" s="355"/>
    </row>
    <row r="180" spans="1:64" s="86" customFormat="1" ht="43.5" customHeight="1">
      <c r="A180" s="87"/>
      <c r="B180" s="90"/>
      <c r="C180" s="90"/>
      <c r="D180" s="90"/>
      <c r="E180" s="90"/>
      <c r="F180" s="90"/>
      <c r="G180" s="104"/>
      <c r="H180" s="168" t="s">
        <v>743</v>
      </c>
      <c r="I180" s="318"/>
      <c r="J180" s="198"/>
      <c r="K180" s="251"/>
      <c r="L180" s="199"/>
      <c r="M180" s="130"/>
      <c r="N180" s="130"/>
      <c r="O180" s="99"/>
      <c r="P180" s="130"/>
      <c r="Q180" s="100"/>
      <c r="R180" s="128"/>
      <c r="S180" s="354"/>
      <c r="T180" s="355"/>
      <c r="U180" s="355"/>
      <c r="V180" s="355"/>
      <c r="W180" s="355"/>
      <c r="X180" s="355"/>
      <c r="Y180" s="355"/>
      <c r="Z180" s="355"/>
      <c r="AA180" s="355"/>
      <c r="AB180" s="355"/>
      <c r="AC180" s="355"/>
      <c r="AD180" s="355"/>
      <c r="AE180" s="355"/>
      <c r="AF180" s="355"/>
      <c r="AG180" s="355"/>
      <c r="AH180" s="355"/>
      <c r="AI180" s="355"/>
      <c r="AJ180" s="355"/>
      <c r="AK180" s="355"/>
      <c r="AL180" s="355"/>
      <c r="AM180" s="355"/>
      <c r="AN180" s="355"/>
      <c r="AO180" s="355"/>
      <c r="AP180" s="355"/>
      <c r="AQ180" s="355"/>
      <c r="AR180" s="355"/>
      <c r="AS180" s="355"/>
      <c r="AT180" s="355"/>
      <c r="AU180" s="355"/>
      <c r="AV180" s="355"/>
      <c r="AW180" s="355"/>
      <c r="AX180" s="355"/>
      <c r="AY180" s="355"/>
      <c r="AZ180" s="355"/>
      <c r="BA180" s="355"/>
      <c r="BB180" s="355"/>
      <c r="BC180" s="355"/>
      <c r="BD180" s="355"/>
      <c r="BE180" s="355"/>
      <c r="BF180" s="355"/>
      <c r="BG180" s="355"/>
      <c r="BH180" s="355"/>
      <c r="BI180" s="355"/>
      <c r="BJ180" s="355"/>
      <c r="BK180" s="355"/>
      <c r="BL180" s="355"/>
    </row>
    <row r="181" spans="1:64" s="86" customFormat="1" ht="43.5" customHeight="1">
      <c r="A181" s="87"/>
      <c r="B181" s="90"/>
      <c r="C181" s="90"/>
      <c r="D181" s="90"/>
      <c r="E181" s="90"/>
      <c r="F181" s="90"/>
      <c r="G181" s="104"/>
      <c r="H181" s="168" t="s">
        <v>744</v>
      </c>
      <c r="I181" s="318"/>
      <c r="J181" s="198"/>
      <c r="K181" s="251"/>
      <c r="L181" s="199"/>
      <c r="M181" s="130"/>
      <c r="N181" s="130"/>
      <c r="O181" s="99"/>
      <c r="P181" s="130"/>
      <c r="Q181" s="100"/>
      <c r="R181" s="128"/>
      <c r="S181" s="354"/>
      <c r="T181" s="355"/>
      <c r="U181" s="355"/>
      <c r="V181" s="355"/>
      <c r="W181" s="355"/>
      <c r="X181" s="355"/>
      <c r="Y181" s="355"/>
      <c r="Z181" s="355"/>
      <c r="AA181" s="355"/>
      <c r="AB181" s="355"/>
      <c r="AC181" s="355"/>
      <c r="AD181" s="355"/>
      <c r="AE181" s="355"/>
      <c r="AF181" s="355"/>
      <c r="AG181" s="355"/>
      <c r="AH181" s="355"/>
      <c r="AI181" s="355"/>
      <c r="AJ181" s="355"/>
      <c r="AK181" s="355"/>
      <c r="AL181" s="355"/>
      <c r="AM181" s="355"/>
      <c r="AN181" s="355"/>
      <c r="AO181" s="355"/>
      <c r="AP181" s="355"/>
      <c r="AQ181" s="355"/>
      <c r="AR181" s="355"/>
      <c r="AS181" s="355"/>
      <c r="AT181" s="355"/>
      <c r="AU181" s="355"/>
      <c r="AV181" s="355"/>
      <c r="AW181" s="355"/>
      <c r="AX181" s="355"/>
      <c r="AY181" s="355"/>
      <c r="AZ181" s="355"/>
      <c r="BA181" s="355"/>
      <c r="BB181" s="355"/>
      <c r="BC181" s="355"/>
      <c r="BD181" s="355"/>
      <c r="BE181" s="355"/>
      <c r="BF181" s="355"/>
      <c r="BG181" s="355"/>
      <c r="BH181" s="355"/>
      <c r="BI181" s="355"/>
      <c r="BJ181" s="355"/>
      <c r="BK181" s="355"/>
      <c r="BL181" s="355"/>
    </row>
    <row r="182" spans="1:64" s="86" customFormat="1" ht="54" customHeight="1">
      <c r="A182" s="87" t="s">
        <v>745</v>
      </c>
      <c r="B182" s="90" t="s">
        <v>746</v>
      </c>
      <c r="C182" s="90">
        <f>"https://register.gotowebinar.com/register/1976522089692371979"</f>
        <v>0</v>
      </c>
      <c r="D182" s="90"/>
      <c r="E182" s="91" t="s">
        <v>747</v>
      </c>
      <c r="F182" s="90" t="s">
        <v>748</v>
      </c>
      <c r="G182" s="104" t="s">
        <v>749</v>
      </c>
      <c r="H182" s="168" t="s">
        <v>750</v>
      </c>
      <c r="I182" s="318"/>
      <c r="J182" s="133">
        <f>"1-877-PLUGVOLT (1-877-758-4865)"</f>
        <v>0</v>
      </c>
      <c r="K182" s="319">
        <f>"mailto:info@plugvolt.com"</f>
        <v>0</v>
      </c>
      <c r="L182" s="199"/>
      <c r="M182" s="183"/>
      <c r="N182" s="183"/>
      <c r="O182" s="359" t="s">
        <v>145</v>
      </c>
      <c r="P182" s="183">
        <f>"https://plugvolt.com/webinars/"</f>
        <v>0</v>
      </c>
      <c r="Q182" s="360" t="s">
        <v>54</v>
      </c>
      <c r="R182" s="254" t="s">
        <v>55</v>
      </c>
      <c r="S182" s="354"/>
      <c r="T182" s="355"/>
      <c r="U182" s="355"/>
      <c r="V182" s="355"/>
      <c r="W182" s="355"/>
      <c r="X182" s="355"/>
      <c r="Y182" s="355"/>
      <c r="Z182" s="355"/>
      <c r="AA182" s="355"/>
      <c r="AB182" s="355"/>
      <c r="AC182" s="355"/>
      <c r="AD182" s="355"/>
      <c r="AE182" s="355"/>
      <c r="AF182" s="355"/>
      <c r="AG182" s="355"/>
      <c r="AH182" s="355"/>
      <c r="AI182" s="355"/>
      <c r="AJ182" s="355"/>
      <c r="AK182" s="355"/>
      <c r="AL182" s="355"/>
      <c r="AM182" s="355"/>
      <c r="AN182" s="355"/>
      <c r="AO182" s="355"/>
      <c r="AP182" s="355"/>
      <c r="AQ182" s="355"/>
      <c r="AR182" s="355"/>
      <c r="AS182" s="355"/>
      <c r="AT182" s="355"/>
      <c r="AU182" s="355"/>
      <c r="AV182" s="355"/>
      <c r="AW182" s="355"/>
      <c r="AX182" s="355"/>
      <c r="AY182" s="355"/>
      <c r="AZ182" s="355"/>
      <c r="BA182" s="355"/>
      <c r="BB182" s="355"/>
      <c r="BC182" s="355"/>
      <c r="BD182" s="355"/>
      <c r="BE182" s="355"/>
      <c r="BF182" s="355"/>
      <c r="BG182" s="355"/>
      <c r="BH182" s="355"/>
      <c r="BI182" s="355"/>
      <c r="BJ182" s="355"/>
      <c r="BK182" s="355"/>
      <c r="BL182" s="355"/>
    </row>
    <row r="183" spans="1:64" ht="60" customHeight="1">
      <c r="A183" s="112" t="s">
        <v>751</v>
      </c>
      <c r="B183" s="115" t="s">
        <v>752</v>
      </c>
      <c r="C183" s="115">
        <f>"https://www.sae.org/attend/escar-usa"</f>
        <v>0</v>
      </c>
      <c r="D183" s="115" t="s">
        <v>753</v>
      </c>
      <c r="E183" s="116" t="s">
        <v>754</v>
      </c>
      <c r="F183" s="115" t="s">
        <v>755</v>
      </c>
      <c r="G183" s="117" t="s">
        <v>756</v>
      </c>
      <c r="H183" s="351" t="s">
        <v>757</v>
      </c>
      <c r="I183" s="348"/>
      <c r="J183" s="256"/>
      <c r="K183" s="257"/>
      <c r="L183" s="261">
        <f>"Extended abstracts -or- Full Papers:  https://www.sae.org/binaries/content/assets/cm/content/attend/2020/escar/20_escar_call_for_papers.pdf"</f>
        <v>0</v>
      </c>
      <c r="M183" s="148">
        <f>"https://www.easychair.org/account/signin?l=zgCqvwsveoKa6Wh2jP3pqt#"</f>
        <v>0</v>
      </c>
      <c r="N183" s="148" t="s">
        <v>758</v>
      </c>
      <c r="O183" s="222" t="s">
        <v>83</v>
      </c>
      <c r="P183" s="148" t="s">
        <v>84</v>
      </c>
      <c r="Q183" s="223" t="s">
        <v>54</v>
      </c>
      <c r="R183" s="224" t="s">
        <v>55</v>
      </c>
      <c r="S183" s="354"/>
      <c r="T183" s="355"/>
      <c r="U183" s="355"/>
      <c r="V183" s="355"/>
      <c r="W183" s="355"/>
      <c r="X183" s="355"/>
      <c r="Y183" s="355"/>
      <c r="Z183" s="355"/>
      <c r="AA183" s="355"/>
      <c r="AB183" s="355"/>
      <c r="AC183" s="355"/>
      <c r="AD183" s="355"/>
      <c r="AE183" s="355"/>
      <c r="AF183" s="355"/>
      <c r="AG183" s="355"/>
      <c r="AH183" s="355"/>
      <c r="AI183" s="355"/>
      <c r="AJ183" s="355"/>
      <c r="AK183" s="355"/>
      <c r="AL183" s="355"/>
      <c r="AM183" s="355"/>
      <c r="AN183" s="355"/>
      <c r="AO183" s="355"/>
      <c r="AP183" s="355"/>
      <c r="AQ183" s="355"/>
      <c r="AR183" s="355"/>
      <c r="AS183" s="355"/>
      <c r="AT183" s="355"/>
      <c r="AU183" s="355"/>
      <c r="AV183" s="355"/>
      <c r="AW183" s="355"/>
      <c r="AX183" s="355"/>
      <c r="AY183" s="355"/>
      <c r="AZ183" s="355"/>
      <c r="BA183" s="355"/>
      <c r="BB183" s="355"/>
      <c r="BC183" s="355"/>
      <c r="BD183" s="355"/>
      <c r="BE183" s="355"/>
      <c r="BF183" s="355"/>
      <c r="BG183" s="355"/>
      <c r="BH183" s="355"/>
      <c r="BI183" s="355"/>
      <c r="BJ183" s="355"/>
      <c r="BK183" s="355"/>
      <c r="BL183" s="355"/>
    </row>
    <row r="184" spans="1:64" ht="50.25" customHeight="1">
      <c r="A184" s="112" t="s">
        <v>759</v>
      </c>
      <c r="B184" s="113" t="s">
        <v>760</v>
      </c>
      <c r="C184" s="143">
        <f>"https://sveq.ebems.com/home.html"</f>
        <v>0</v>
      </c>
      <c r="D184" s="115" t="s">
        <v>761</v>
      </c>
      <c r="E184" s="116" t="s">
        <v>762</v>
      </c>
      <c r="F184" s="115" t="s">
        <v>763</v>
      </c>
      <c r="G184" s="240" t="s">
        <v>599</v>
      </c>
      <c r="H184" s="278"/>
      <c r="I184" s="215"/>
      <c r="J184" s="120"/>
      <c r="K184" s="121">
        <f>"https://sveq.ebems.com/contact-en.html"</f>
        <v>0</v>
      </c>
      <c r="L184" s="154">
        <f>"Exhibitors&amp;rsquo; info:  https://sveq.ebems.com/exhibitors/general-informations.html"</f>
        <v>0</v>
      </c>
      <c r="M184" s="265"/>
      <c r="N184" s="277"/>
      <c r="O184" s="125" t="s">
        <v>600</v>
      </c>
      <c r="P184" s="115">
        <f>"https://emc-mec.ca/event/"</f>
        <v>0</v>
      </c>
      <c r="Q184" s="126" t="s">
        <v>67</v>
      </c>
      <c r="R184" s="127" t="s">
        <v>86</v>
      </c>
      <c r="S184" s="85"/>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row>
    <row r="185" spans="1:64" ht="67.5" customHeight="1">
      <c r="A185" s="112" t="s">
        <v>764</v>
      </c>
      <c r="B185" s="148" t="s">
        <v>765</v>
      </c>
      <c r="C185" s="115">
        <f>"https://www.itsnz.org/events/international-its-events/17th-its-asia-pacific-forum-2020-brisbane"</f>
        <v>0</v>
      </c>
      <c r="D185" s="148" t="s">
        <v>766</v>
      </c>
      <c r="E185" s="116" t="s">
        <v>767</v>
      </c>
      <c r="F185" s="148" t="s">
        <v>768</v>
      </c>
      <c r="G185" s="117" t="s">
        <v>769</v>
      </c>
      <c r="H185" s="217"/>
      <c r="I185" s="348"/>
      <c r="J185" s="219"/>
      <c r="K185" s="349">
        <f>"https://www.itsnz.org/contact-us"</f>
        <v>0</v>
      </c>
      <c r="L185" s="125"/>
      <c r="M185" s="148"/>
      <c r="N185" s="148"/>
      <c r="O185" s="222" t="s">
        <v>770</v>
      </c>
      <c r="P185" s="148">
        <f>"https://itsap2020.com/"</f>
        <v>0</v>
      </c>
      <c r="Q185" s="223" t="s">
        <v>54</v>
      </c>
      <c r="R185" s="224" t="s">
        <v>55</v>
      </c>
      <c r="S185" s="354"/>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5"/>
      <c r="AO185" s="355"/>
      <c r="AP185" s="355"/>
      <c r="AQ185" s="355"/>
      <c r="AR185" s="355"/>
      <c r="AS185" s="355"/>
      <c r="AT185" s="355"/>
      <c r="AU185" s="355"/>
      <c r="AV185" s="355"/>
      <c r="AW185" s="355"/>
      <c r="AX185" s="355"/>
      <c r="AY185" s="355"/>
      <c r="AZ185" s="355"/>
      <c r="BA185" s="355"/>
      <c r="BB185" s="355"/>
      <c r="BC185" s="355"/>
      <c r="BD185" s="355"/>
      <c r="BE185" s="355"/>
      <c r="BF185" s="355"/>
      <c r="BG185" s="355"/>
      <c r="BH185" s="355"/>
      <c r="BI185" s="355"/>
      <c r="BJ185" s="355"/>
      <c r="BK185" s="355"/>
      <c r="BL185" s="355"/>
    </row>
    <row r="186" spans="1:64" ht="66" customHeight="1">
      <c r="A186" s="112"/>
      <c r="B186" s="148"/>
      <c r="C186" s="115">
        <f>"Flyer:  https://itsap2020.com/wp-content/uploads/2019/03/AP20-Flyer_digital_proof5.pdf"</f>
        <v>0</v>
      </c>
      <c r="D186" s="148"/>
      <c r="E186" s="148"/>
      <c r="F186" s="148"/>
      <c r="G186" s="117"/>
      <c r="H186" s="217"/>
      <c r="I186" s="348"/>
      <c r="J186" s="219"/>
      <c r="K186" s="349"/>
      <c r="L186" s="125"/>
      <c r="M186" s="148"/>
      <c r="N186" s="148"/>
      <c r="O186" s="222"/>
      <c r="P186" s="148"/>
      <c r="Q186" s="223"/>
      <c r="R186" s="224"/>
      <c r="S186" s="354"/>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5"/>
      <c r="AZ186" s="355"/>
      <c r="BA186" s="355"/>
      <c r="BB186" s="355"/>
      <c r="BC186" s="355"/>
      <c r="BD186" s="355"/>
      <c r="BE186" s="355"/>
      <c r="BF186" s="355"/>
      <c r="BG186" s="355"/>
      <c r="BH186" s="355"/>
      <c r="BI186" s="355"/>
      <c r="BJ186" s="355"/>
      <c r="BK186" s="355"/>
      <c r="BL186" s="355"/>
    </row>
    <row r="187" spans="1:64" ht="48.75" customHeight="1">
      <c r="A187" s="87" t="s">
        <v>771</v>
      </c>
      <c r="B187" s="90" t="s">
        <v>772</v>
      </c>
      <c r="C187" s="90">
        <f>"https://events.vtsociety.org/vtc2020-spring/"</f>
        <v>0</v>
      </c>
      <c r="D187" s="90" t="s">
        <v>773</v>
      </c>
      <c r="E187" s="91" t="s">
        <v>774</v>
      </c>
      <c r="F187" s="90" t="s">
        <v>775</v>
      </c>
      <c r="G187" s="104" t="s">
        <v>776</v>
      </c>
      <c r="H187" s="361">
        <f>"Soecial Corona Virus Announcement:  https://events.vtsociety.org/vtc2020-spring/authors/special-message-from-vts-vice-president-of-conferences/"</f>
        <v>0</v>
      </c>
      <c r="I187" s="318"/>
      <c r="J187" s="198"/>
      <c r="K187" s="319">
        <f>"Contact form:  https://events.vtsociety.org/vtc2020-spring/contact-us/"</f>
        <v>0</v>
      </c>
      <c r="L187" s="362">
        <f>"https://events.vtsociety.org/vtc2020-spring/authors/call-for-papers-2/"</f>
        <v>0</v>
      </c>
      <c r="M187" s="183">
        <f>"https://vtc2020spring.trackchair.com/"</f>
        <v>0</v>
      </c>
      <c r="N187" s="183" t="s">
        <v>777</v>
      </c>
      <c r="O187" s="359" t="s">
        <v>778</v>
      </c>
      <c r="P187" s="90" t="s">
        <v>779</v>
      </c>
      <c r="Q187" s="360" t="s">
        <v>54</v>
      </c>
      <c r="R187" s="363" t="s">
        <v>780</v>
      </c>
      <c r="S187" s="85"/>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row>
    <row r="188" spans="1:64" ht="51.75" customHeight="1">
      <c r="A188" s="87"/>
      <c r="B188" s="90"/>
      <c r="C188" s="90"/>
      <c r="D188" s="90"/>
      <c r="E188" s="91"/>
      <c r="F188" s="90"/>
      <c r="G188" s="104"/>
      <c r="H188" s="361"/>
      <c r="I188" s="318"/>
      <c r="J188" s="198"/>
      <c r="K188" s="319"/>
      <c r="L188" s="364">
        <f>"Workshops:  https://events.vtsociety.org/vtc2020-spring/conference-sessions/call-for-workshops/"</f>
        <v>0</v>
      </c>
      <c r="M188" s="148">
        <f>"https://events.vtsociety.org/vtc2020-spring/conference-sessions/call-for-workshops/workshop-proposal-form/"</f>
        <v>0</v>
      </c>
      <c r="N188" s="183">
        <f>"Workshop Proposals due:  2019/10/31     (extended from 09/30 and 09/15)"</f>
        <v>0</v>
      </c>
      <c r="O188" s="359"/>
      <c r="P188" s="90"/>
      <c r="Q188" s="360"/>
      <c r="R188" s="363"/>
      <c r="S188" s="85"/>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row>
    <row r="189" spans="1:64" ht="82.5" customHeight="1">
      <c r="A189" s="87"/>
      <c r="B189" s="90"/>
      <c r="C189" s="90"/>
      <c r="D189" s="90"/>
      <c r="E189" s="91"/>
      <c r="F189" s="90"/>
      <c r="G189" s="104"/>
      <c r="H189" s="361"/>
      <c r="I189" s="318"/>
      <c r="J189" s="198"/>
      <c r="K189" s="319"/>
      <c r="L189" s="364"/>
      <c r="M189" s="148"/>
      <c r="N189" s="183">
        <f>"Workshop Papers 2020/02/12 except Workshop 9-02/07 (extended from 02/03 and  01/15), and Workshop 7 (02/18)"</f>
        <v>0</v>
      </c>
      <c r="O189" s="359"/>
      <c r="P189" s="90"/>
      <c r="Q189" s="360"/>
      <c r="R189" s="363"/>
      <c r="S189" s="85"/>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row>
    <row r="190" spans="1:64" ht="36.75" customHeight="1">
      <c r="A190" s="87"/>
      <c r="B190" s="90"/>
      <c r="C190" s="90"/>
      <c r="D190" s="90"/>
      <c r="E190" s="91"/>
      <c r="F190" s="90"/>
      <c r="G190" s="104"/>
      <c r="H190" s="361"/>
      <c r="I190" s="318"/>
      <c r="J190" s="198"/>
      <c r="K190" s="319"/>
      <c r="L190" s="362">
        <f>"tutorials:  https://events.vtsociety.org/vtc2020-spring/conference-sessions/call-for-tutorials/"</f>
        <v>0</v>
      </c>
      <c r="M190" s="148">
        <f>"https://events.vtsociety.org/vtc2020-spring/conference-sessions/call-for-tutorials/tutorial-proposal-submission-form/"</f>
        <v>0</v>
      </c>
      <c r="N190" s="183">
        <f>"Brief Descriptions:  Due 2019/11/01"</f>
        <v>0</v>
      </c>
      <c r="O190" s="359"/>
      <c r="P190" s="90"/>
      <c r="Q190" s="360"/>
      <c r="R190" s="363"/>
      <c r="S190" s="85"/>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row>
    <row r="191" spans="1:64" ht="36.75" customHeight="1">
      <c r="A191" s="87"/>
      <c r="B191" s="90"/>
      <c r="C191" s="90"/>
      <c r="D191" s="90"/>
      <c r="E191" s="91"/>
      <c r="F191" s="90"/>
      <c r="G191" s="104"/>
      <c r="H191" s="361"/>
      <c r="I191" s="318"/>
      <c r="J191" s="198"/>
      <c r="K191" s="319"/>
      <c r="L191" s="362"/>
      <c r="M191" s="148"/>
      <c r="N191" s="148">
        <f>"Request for full proposal notification:  2019/11/05"</f>
        <v>0</v>
      </c>
      <c r="O191" s="359"/>
      <c r="P191" s="90"/>
      <c r="Q191" s="360"/>
      <c r="R191" s="363"/>
      <c r="S191" s="85"/>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row>
    <row r="192" spans="1:64" ht="36.75" customHeight="1">
      <c r="A192" s="87"/>
      <c r="B192" s="90"/>
      <c r="C192" s="90"/>
      <c r="D192" s="90"/>
      <c r="E192" s="91"/>
      <c r="F192" s="90"/>
      <c r="G192" s="104"/>
      <c r="H192" s="361"/>
      <c r="I192" s="318"/>
      <c r="J192" s="198"/>
      <c r="K192" s="319"/>
      <c r="L192" s="362" t="s">
        <v>781</v>
      </c>
      <c r="M192" s="183"/>
      <c r="N192" s="183" t="s">
        <v>782</v>
      </c>
      <c r="O192" s="359"/>
      <c r="P192" s="90"/>
      <c r="Q192" s="360"/>
      <c r="R192" s="363"/>
      <c r="S192" s="85"/>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row>
    <row r="193" spans="1:64" ht="54.75" customHeight="1">
      <c r="A193" s="87"/>
      <c r="B193" s="90"/>
      <c r="C193" s="90"/>
      <c r="D193" s="90"/>
      <c r="E193" s="90"/>
      <c r="F193" s="90"/>
      <c r="G193" s="104"/>
      <c r="H193" s="361"/>
      <c r="I193" s="318"/>
      <c r="J193" s="198"/>
      <c r="K193" s="319"/>
      <c r="L193" s="362">
        <f>"IEEE VTS Student Travel Grant (Undergrad or Grad, must present paper, maximum $1000):  https://vtc2020s-rr-wks.trackchair.com/track/1891"</f>
        <v>0</v>
      </c>
      <c r="M193" s="183">
        <f>"https://vtc2020s-rr-wks.trackchair.com/track/1891/submit"</f>
        <v>0</v>
      </c>
      <c r="N193" s="148" t="s">
        <v>783</v>
      </c>
      <c r="O193" s="359"/>
      <c r="P193" s="90"/>
      <c r="Q193" s="360"/>
      <c r="R193" s="363"/>
      <c r="S193" s="85"/>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row>
    <row r="194" spans="1:64" ht="53.25" customHeight="1">
      <c r="A194" s="87" t="s">
        <v>784</v>
      </c>
      <c r="B194" s="90" t="s">
        <v>785</v>
      </c>
      <c r="C194" s="90">
        <f>"https://teslasciencecenter.org/events/tesla-unwired-podcast/"</f>
        <v>0</v>
      </c>
      <c r="D194" s="90"/>
      <c r="E194" s="91" t="s">
        <v>786</v>
      </c>
      <c r="F194" s="90" t="s">
        <v>787</v>
      </c>
      <c r="G194" s="104" t="s">
        <v>788</v>
      </c>
      <c r="H194" s="132" t="s">
        <v>789</v>
      </c>
      <c r="I194" s="318"/>
      <c r="J194" s="133"/>
      <c r="K194" s="319">
        <f>"mailto:events@teslasciencecenter.org"</f>
        <v>0</v>
      </c>
      <c r="L194" s="362">
        <f>"registration:  https://teslasciencecenter.z2systems.com/eventReg.jsp?event=511&amp;"</f>
        <v>0</v>
      </c>
      <c r="M194" s="183"/>
      <c r="N194" s="183"/>
      <c r="O194" s="99" t="s">
        <v>66</v>
      </c>
      <c r="P194" s="183">
        <f aca="true" t="shared" si="1" ref="P194:P195">"https://teslasciencecenter.org/events/"</f>
        <v>0</v>
      </c>
      <c r="Q194" s="100" t="s">
        <v>67</v>
      </c>
      <c r="R194" s="101" t="s">
        <v>68</v>
      </c>
      <c r="S194" s="85"/>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row>
    <row r="195" spans="1:64" ht="85.5" customHeight="1">
      <c r="A195" s="112" t="s">
        <v>281</v>
      </c>
      <c r="B195" s="113" t="s">
        <v>282</v>
      </c>
      <c r="C195" s="143">
        <f>"https://teslasciencecenter.org/events/tesla-steam-camp/"</f>
        <v>0</v>
      </c>
      <c r="D195" s="115" t="s">
        <v>323</v>
      </c>
      <c r="E195" s="116" t="s">
        <v>790</v>
      </c>
      <c r="F195" s="115" t="s">
        <v>652</v>
      </c>
      <c r="G195" s="117" t="s">
        <v>653</v>
      </c>
      <c r="H195" s="217" t="s">
        <v>326</v>
      </c>
      <c r="I195" s="119"/>
      <c r="J195" s="120"/>
      <c r="K195" s="121"/>
      <c r="L195" s="212">
        <f>"Registration:  https://teslasciencecenter.z2systems.com/np/clients/teslasciencecenter/eventRegistration.jsp?event=465&amp;"</f>
        <v>0</v>
      </c>
      <c r="M195" s="337" t="s">
        <v>791</v>
      </c>
      <c r="N195" s="155">
        <f>"Registration:  https://teslasciencecenter.z2systems.com/np/clients/teslasciencecenter/eventRegistration.jsp?event=424&amp;"</f>
        <v>0</v>
      </c>
      <c r="O195" s="125" t="s">
        <v>66</v>
      </c>
      <c r="P195" s="148">
        <f t="shared" si="1"/>
        <v>0</v>
      </c>
      <c r="Q195" s="126" t="s">
        <v>67</v>
      </c>
      <c r="R195" s="127" t="s">
        <v>68</v>
      </c>
      <c r="S195" s="141"/>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row>
    <row r="196" spans="1:64" s="86" customFormat="1" ht="37.5" customHeight="1">
      <c r="A196" s="87" t="s">
        <v>792</v>
      </c>
      <c r="B196" s="88" t="s">
        <v>793</v>
      </c>
      <c r="C196" s="89">
        <f>"https://www.ttnews.com/articles/dot-opens-funding-opportunity-university-transportation-centers"</f>
        <v>0</v>
      </c>
      <c r="D196" s="90"/>
      <c r="E196" s="91" t="s">
        <v>794</v>
      </c>
      <c r="F196" s="90" t="s">
        <v>795</v>
      </c>
      <c r="G196" s="306" t="s">
        <v>796</v>
      </c>
      <c r="H196" s="365"/>
      <c r="I196" s="366"/>
      <c r="J196" s="95"/>
      <c r="K196" s="95"/>
      <c r="L196" s="159" t="s">
        <v>797</v>
      </c>
      <c r="M196" s="97"/>
      <c r="N196" s="98" t="s">
        <v>798</v>
      </c>
      <c r="O196" s="99"/>
      <c r="P196" s="130"/>
      <c r="Q196" s="100" t="s">
        <v>54</v>
      </c>
      <c r="R196" s="128" t="s">
        <v>55</v>
      </c>
      <c r="S196" s="85"/>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row>
    <row r="197" spans="1:64" s="86" customFormat="1" ht="37.5" customHeight="1">
      <c r="A197" s="87"/>
      <c r="B197" s="88"/>
      <c r="C197" s="89"/>
      <c r="D197" s="90"/>
      <c r="E197" s="90"/>
      <c r="F197" s="90"/>
      <c r="G197" s="306" t="s">
        <v>799</v>
      </c>
      <c r="H197" s="365"/>
      <c r="I197" s="366"/>
      <c r="J197" s="95"/>
      <c r="K197" s="95"/>
      <c r="L197" s="159" t="s">
        <v>800</v>
      </c>
      <c r="M197" s="97"/>
      <c r="N197" s="98" t="s">
        <v>794</v>
      </c>
      <c r="O197" s="99"/>
      <c r="P197" s="130"/>
      <c r="Q197" s="100"/>
      <c r="R197" s="100"/>
      <c r="S197" s="85"/>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row>
    <row r="198" spans="1:64" s="86" customFormat="1" ht="54.75" customHeight="1">
      <c r="A198" s="87" t="s">
        <v>801</v>
      </c>
      <c r="B198" s="88" t="s">
        <v>802</v>
      </c>
      <c r="C198" s="89">
        <f>"https://register.gotowebinar.com/register/3488535297357576205"</f>
        <v>0</v>
      </c>
      <c r="D198" s="90"/>
      <c r="E198" s="91" t="s">
        <v>803</v>
      </c>
      <c r="F198" s="90" t="s">
        <v>804</v>
      </c>
      <c r="G198" s="306" t="s">
        <v>805</v>
      </c>
      <c r="H198" s="365" t="s">
        <v>806</v>
      </c>
      <c r="I198" s="366"/>
      <c r="J198" s="95"/>
      <c r="K198" s="95"/>
      <c r="L198" s="159"/>
      <c r="M198" s="97"/>
      <c r="N198" s="98"/>
      <c r="O198" s="99" t="s">
        <v>103</v>
      </c>
      <c r="P198" s="90" t="s">
        <v>104</v>
      </c>
      <c r="Q198" s="100" t="s">
        <v>54</v>
      </c>
      <c r="R198" s="128" t="s">
        <v>55</v>
      </c>
      <c r="S198" s="85"/>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row>
    <row r="199" spans="1:64" ht="51" customHeight="1">
      <c r="A199" s="112" t="s">
        <v>807</v>
      </c>
      <c r="B199" s="115" t="s">
        <v>808</v>
      </c>
      <c r="C199" s="115">
        <f>"https://automotive.knect365.com/tu-automotive-awards/"</f>
        <v>0</v>
      </c>
      <c r="D199" s="115" t="s">
        <v>809</v>
      </c>
      <c r="E199" s="116" t="s">
        <v>810</v>
      </c>
      <c r="F199" s="115"/>
      <c r="G199" s="117" t="s">
        <v>811</v>
      </c>
      <c r="H199" s="278"/>
      <c r="I199" s="348"/>
      <c r="J199" s="256"/>
      <c r="K199" s="257"/>
      <c r="L199" s="350" t="s">
        <v>812</v>
      </c>
      <c r="M199" s="148"/>
      <c r="N199" s="148"/>
      <c r="O199" s="222" t="s">
        <v>53</v>
      </c>
      <c r="P199" s="115" t="s">
        <v>364</v>
      </c>
      <c r="Q199" s="223" t="s">
        <v>54</v>
      </c>
      <c r="R199" s="224" t="s">
        <v>55</v>
      </c>
      <c r="S199" s="85"/>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row>
    <row r="200" spans="1:64" ht="42.75" customHeight="1">
      <c r="A200" s="279" t="s">
        <v>813</v>
      </c>
      <c r="B200" s="280" t="s">
        <v>814</v>
      </c>
      <c r="C200" s="281">
        <f>"https://automotive.knect365.com/tu-auto-detroit/"</f>
        <v>0</v>
      </c>
      <c r="D200" s="115"/>
      <c r="E200" s="283" t="s">
        <v>815</v>
      </c>
      <c r="F200" s="282" t="s">
        <v>816</v>
      </c>
      <c r="G200" s="284" t="s">
        <v>817</v>
      </c>
      <c r="H200" s="367">
        <f>"Sponsors &amp; Exhibitors:  https://automotive.knect365.com/tu-auto-detroit/sponsors"</f>
        <v>0</v>
      </c>
      <c r="I200" s="119"/>
      <c r="J200" s="219"/>
      <c r="K200" s="241">
        <f>"https://automotive.knect365.com/tu-auto-detroit/contact"</f>
        <v>0</v>
      </c>
      <c r="L200" s="212" t="s">
        <v>818</v>
      </c>
      <c r="M200" s="123">
        <f>"https://tr.informabi.com/tu-automotive-detroit-apply-speak?code=website-homepage"</f>
        <v>0</v>
      </c>
      <c r="N200" s="155" t="s">
        <v>819</v>
      </c>
      <c r="O200" s="222"/>
      <c r="P200" s="115"/>
      <c r="Q200" s="287" t="s">
        <v>365</v>
      </c>
      <c r="R200" s="289" t="s">
        <v>55</v>
      </c>
      <c r="S200" s="85"/>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row>
    <row r="201" spans="1:64" ht="41.25" customHeight="1">
      <c r="A201" s="279"/>
      <c r="B201" s="280"/>
      <c r="C201" s="281"/>
      <c r="D201" s="115"/>
      <c r="E201" s="283"/>
      <c r="F201" s="283"/>
      <c r="G201" s="284"/>
      <c r="H201" s="367">
        <f>"Order the Brochure:  https://tr.informabi.com/tu-detroit-brochure"</f>
        <v>0</v>
      </c>
      <c r="I201" s="119"/>
      <c r="J201" s="219"/>
      <c r="K201" s="241"/>
      <c r="L201" s="212"/>
      <c r="M201" s="123"/>
      <c r="N201" s="155"/>
      <c r="O201" s="222"/>
      <c r="P201" s="115"/>
      <c r="Q201" s="287"/>
      <c r="R201" s="289"/>
      <c r="S201" s="85"/>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row>
    <row r="202" spans="1:64" s="86" customFormat="1" ht="69" customHeight="1">
      <c r="A202" s="320" t="s">
        <v>820</v>
      </c>
      <c r="B202" s="321" t="s">
        <v>821</v>
      </c>
      <c r="C202" s="322">
        <f>"https://aec-conference.eu/#schedule"</f>
        <v>0</v>
      </c>
      <c r="D202" s="90"/>
      <c r="E202" s="324" t="s">
        <v>822</v>
      </c>
      <c r="F202" s="324" t="s">
        <v>823</v>
      </c>
      <c r="G202" s="325" t="s">
        <v>824</v>
      </c>
      <c r="H202" s="326"/>
      <c r="I202" s="106"/>
      <c r="J202" s="133"/>
      <c r="K202" s="108"/>
      <c r="L202" s="159">
        <f>"Registration:  https://us02web.zoom.us/webinar/register/WN_bFEXXVr5TEalz5JjtQm0VA"</f>
        <v>0</v>
      </c>
      <c r="M202" s="110">
        <f>"Main Event:  #AEC2020"</f>
        <v>0</v>
      </c>
      <c r="N202" s="146"/>
      <c r="O202" s="359" t="s">
        <v>187</v>
      </c>
      <c r="P202" s="183" t="s">
        <v>340</v>
      </c>
      <c r="Q202" s="100" t="s">
        <v>54</v>
      </c>
      <c r="R202" s="128" t="s">
        <v>55</v>
      </c>
      <c r="S202" s="85"/>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row>
    <row r="203" spans="1:64" s="86" customFormat="1" ht="66" customHeight="1">
      <c r="A203" s="87" t="s">
        <v>825</v>
      </c>
      <c r="B203" s="90" t="s">
        <v>826</v>
      </c>
      <c r="C203" s="90">
        <f>"https://register.gotowebinar.com/register/2124878094887924238"</f>
        <v>0</v>
      </c>
      <c r="D203" s="90"/>
      <c r="E203" s="91" t="s">
        <v>827</v>
      </c>
      <c r="F203" s="90" t="s">
        <v>828</v>
      </c>
      <c r="G203" s="104" t="s">
        <v>829</v>
      </c>
      <c r="H203" s="168" t="s">
        <v>830</v>
      </c>
      <c r="I203" s="318"/>
      <c r="J203" s="133">
        <f>"1-877-PLUGVOLT (1-877-758-4865)"</f>
        <v>0</v>
      </c>
      <c r="K203" s="319">
        <f>"mailto:info@plugvolt.com"</f>
        <v>0</v>
      </c>
      <c r="L203" s="199" t="s">
        <v>831</v>
      </c>
      <c r="M203" s="183"/>
      <c r="N203" s="183"/>
      <c r="O203" s="359" t="s">
        <v>145</v>
      </c>
      <c r="P203" s="183">
        <f>"https://plugvolt.com/webinars/"</f>
        <v>0</v>
      </c>
      <c r="Q203" s="360" t="s">
        <v>54</v>
      </c>
      <c r="R203" s="254" t="s">
        <v>55</v>
      </c>
      <c r="S203" s="354"/>
      <c r="T203" s="355"/>
      <c r="U203" s="355"/>
      <c r="V203" s="355"/>
      <c r="W203" s="355"/>
      <c r="X203" s="355"/>
      <c r="Y203" s="355"/>
      <c r="Z203" s="355"/>
      <c r="AA203" s="355"/>
      <c r="AB203" s="355"/>
      <c r="AC203" s="355"/>
      <c r="AD203" s="355"/>
      <c r="AE203" s="355"/>
      <c r="AF203" s="355"/>
      <c r="AG203" s="355"/>
      <c r="AH203" s="355"/>
      <c r="AI203" s="355"/>
      <c r="AJ203" s="355"/>
      <c r="AK203" s="355"/>
      <c r="AL203" s="355"/>
      <c r="AM203" s="355"/>
      <c r="AN203" s="355"/>
      <c r="AO203" s="355"/>
      <c r="AP203" s="355"/>
      <c r="AQ203" s="355"/>
      <c r="AR203" s="355"/>
      <c r="AS203" s="355"/>
      <c r="AT203" s="355"/>
      <c r="AU203" s="355"/>
      <c r="AV203" s="355"/>
      <c r="AW203" s="355"/>
      <c r="AX203" s="355"/>
      <c r="AY203" s="355"/>
      <c r="AZ203" s="355"/>
      <c r="BA203" s="355"/>
      <c r="BB203" s="355"/>
      <c r="BC203" s="355"/>
      <c r="BD203" s="355"/>
      <c r="BE203" s="355"/>
      <c r="BF203" s="355"/>
      <c r="BG203" s="355"/>
      <c r="BH203" s="355"/>
      <c r="BI203" s="355"/>
      <c r="BJ203" s="355"/>
      <c r="BK203" s="355"/>
      <c r="BL203" s="355"/>
    </row>
    <row r="204" spans="1:64" ht="50.25" customHeight="1">
      <c r="A204" s="112" t="s">
        <v>832</v>
      </c>
      <c r="B204" s="113" t="s">
        <v>833</v>
      </c>
      <c r="C204" s="143">
        <f>"https://www.sae.org/attend/student-events/autodrive-challenge/"</f>
        <v>0</v>
      </c>
      <c r="D204" s="115" t="s">
        <v>834</v>
      </c>
      <c r="E204" s="116" t="s">
        <v>835</v>
      </c>
      <c r="F204" s="115" t="s">
        <v>836</v>
      </c>
      <c r="G204" s="240" t="s">
        <v>837</v>
      </c>
      <c r="H204" s="278"/>
      <c r="I204" s="215"/>
      <c r="J204" s="120"/>
      <c r="K204" s="121">
        <f>"https://www.sae.org/attend/student-events/autodrive-challenge/contact"</f>
        <v>0</v>
      </c>
      <c r="L204" s="154"/>
      <c r="M204" s="234"/>
      <c r="N204" s="277"/>
      <c r="O204" s="125" t="s">
        <v>83</v>
      </c>
      <c r="P204" s="115" t="s">
        <v>838</v>
      </c>
      <c r="Q204" s="126" t="s">
        <v>839</v>
      </c>
      <c r="R204" s="127" t="s">
        <v>86</v>
      </c>
      <c r="S204" s="85"/>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row>
    <row r="205" spans="1:64" ht="40.5" customHeight="1">
      <c r="A205" s="147">
        <f>"Advanced Automotive Battery Conference"</f>
        <v>0</v>
      </c>
      <c r="B205" s="148" t="s">
        <v>840</v>
      </c>
      <c r="C205" s="148">
        <f>"https://www.advancedautobat.com/us"</f>
        <v>0</v>
      </c>
      <c r="D205" s="148" t="s">
        <v>841</v>
      </c>
      <c r="E205" s="116" t="s">
        <v>842</v>
      </c>
      <c r="F205" s="148">
        <f>"aabc-wh.png    238 x 117"</f>
        <v>0</v>
      </c>
      <c r="G205" s="368" t="s">
        <v>843</v>
      </c>
      <c r="H205" s="217" t="s">
        <v>844</v>
      </c>
      <c r="I205" s="119"/>
      <c r="J205" s="256">
        <f>"vox: (781) 972-5400"</f>
        <v>0</v>
      </c>
      <c r="K205" s="121">
        <f>"https://www.advancedautobat.com/contact-us"</f>
        <v>0</v>
      </c>
      <c r="L205" s="212">
        <f>"Speaker proposal:  https://www.advancedautobat.com/us/speaker-proposal"</f>
        <v>0</v>
      </c>
      <c r="M205" s="123"/>
      <c r="N205" s="229" t="s">
        <v>845</v>
      </c>
      <c r="O205" s="286" t="s">
        <v>109</v>
      </c>
      <c r="P205" s="369" t="s">
        <v>846</v>
      </c>
      <c r="Q205" s="370" t="s">
        <v>54</v>
      </c>
      <c r="R205" s="371" t="s">
        <v>847</v>
      </c>
      <c r="S205" s="85"/>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row>
    <row r="206" spans="1:64" ht="39" customHeight="1">
      <c r="A206" s="147"/>
      <c r="B206" s="148"/>
      <c r="C206" s="148"/>
      <c r="D206" s="148"/>
      <c r="E206" s="116"/>
      <c r="F206" s="116"/>
      <c r="G206" s="368"/>
      <c r="H206" s="217">
        <f>"Brochure Request (complete):  https://www.advancedautobat.com/us/2020-brochure-download-form"</f>
        <v>0</v>
      </c>
      <c r="I206" s="119"/>
      <c r="J206" s="256">
        <f>"fax: (781) 972-5425"</f>
        <v>0</v>
      </c>
      <c r="K206" s="121">
        <f>"mailto:ce@cambridgeenertech.com"</f>
        <v>0</v>
      </c>
      <c r="L206" s="212"/>
      <c r="M206" s="123"/>
      <c r="N206" s="229"/>
      <c r="O206" s="286"/>
      <c r="P206" s="369"/>
      <c r="Q206" s="370"/>
      <c r="R206" s="371"/>
      <c r="S206" s="85"/>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row>
    <row r="207" spans="1:64" s="86" customFormat="1" ht="53.25" customHeight="1">
      <c r="A207" s="102" t="s">
        <v>848</v>
      </c>
      <c r="B207" s="183" t="s">
        <v>849</v>
      </c>
      <c r="C207" s="90">
        <f>"https://register.gotowebinar.com/register/1622318818879746320"</f>
        <v>0</v>
      </c>
      <c r="D207" s="183"/>
      <c r="E207" s="91" t="s">
        <v>850</v>
      </c>
      <c r="F207" s="90" t="s">
        <v>851</v>
      </c>
      <c r="G207" s="136" t="s">
        <v>852</v>
      </c>
      <c r="H207" s="132" t="s">
        <v>853</v>
      </c>
      <c r="I207" s="106"/>
      <c r="J207" s="133"/>
      <c r="K207" s="108"/>
      <c r="L207" s="159"/>
      <c r="M207" s="110"/>
      <c r="N207" s="98"/>
      <c r="O207" s="203" t="s">
        <v>854</v>
      </c>
      <c r="P207" s="204">
        <f>"https://tec.ieee.org/education/webinars/"</f>
        <v>0</v>
      </c>
      <c r="Q207" s="372" t="s">
        <v>54</v>
      </c>
      <c r="R207" s="373" t="s">
        <v>55</v>
      </c>
      <c r="S207" s="85"/>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row>
    <row r="208" spans="1:64" ht="53.25" customHeight="1">
      <c r="A208" s="147" t="s">
        <v>216</v>
      </c>
      <c r="B208" s="113" t="s">
        <v>217</v>
      </c>
      <c r="C208" s="143">
        <f>"https://startupprize.eu/"</f>
        <v>0</v>
      </c>
      <c r="D208" s="244" t="s">
        <v>369</v>
      </c>
      <c r="E208" s="239">
        <f>"Contest open:  2020/02/20 – 03/31"</f>
        <v>0</v>
      </c>
      <c r="F208" s="148" t="s">
        <v>219</v>
      </c>
      <c r="G208" s="117" t="s">
        <v>220</v>
      </c>
      <c r="H208" s="374"/>
      <c r="I208" s="151"/>
      <c r="J208" s="152"/>
      <c r="K208" s="375">
        <f>"Newsletter subscription:  https://startupsprize.us16.list-manage.com/subscribe?u=e7a67bf0c991ed24e3e4e7fd6&amp;id=6b6ad4d736"</f>
        <v>0</v>
      </c>
      <c r="L208" s="212">
        <f>"Prize Rules:  https://startupprize.eu/prize-rules-2020/"</f>
        <v>0</v>
      </c>
      <c r="M208" s="123">
        <f>"https://www.agorize.com/en/users/sign_up?participate_modal=true&amp;redirect_to=%2Fen%2Fchallenges%2Feu-startupprize%2Fteams%3Fparticipate_when_signed_in%3Dfalse"</f>
        <v>0</v>
      </c>
      <c r="N208" s="155" t="s">
        <v>221</v>
      </c>
      <c r="O208" s="125" t="s">
        <v>222</v>
      </c>
      <c r="P208" s="244">
        <f>"https://ertico.com/"</f>
        <v>0</v>
      </c>
      <c r="Q208" s="126" t="s">
        <v>54</v>
      </c>
      <c r="R208" s="213" t="s">
        <v>55</v>
      </c>
      <c r="S208" s="85"/>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row>
    <row r="209" spans="1:64" ht="54.75" customHeight="1">
      <c r="A209" s="147"/>
      <c r="B209" s="113"/>
      <c r="C209" s="143">
        <f>"Alt. Link:  https://www.agorize.com/en/challenges/eu-startupprize"</f>
        <v>0</v>
      </c>
      <c r="D209" s="244"/>
      <c r="E209" s="116" t="s">
        <v>855</v>
      </c>
      <c r="F209" s="148"/>
      <c r="G209" s="117"/>
      <c r="H209" s="374"/>
      <c r="I209" s="151"/>
      <c r="J209" s="152"/>
      <c r="K209" s="375"/>
      <c r="L209" s="212"/>
      <c r="M209" s="123"/>
      <c r="N209" s="155"/>
      <c r="O209" s="125"/>
      <c r="P209" s="244"/>
      <c r="Q209" s="126"/>
      <c r="R209" s="126"/>
      <c r="S209" s="85"/>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row>
    <row r="210" spans="1:64" ht="45" customHeight="1">
      <c r="A210" s="147" t="s">
        <v>856</v>
      </c>
      <c r="B210" s="148"/>
      <c r="C210" s="148">
        <f>"https://vivatechnology.com/"</f>
        <v>0</v>
      </c>
      <c r="D210" s="244"/>
      <c r="E210" s="116" t="s">
        <v>857</v>
      </c>
      <c r="F210" s="115" t="s">
        <v>858</v>
      </c>
      <c r="G210" s="376">
        <f>"Europe&amp;rsquo;s biggest tech and startup event "</f>
        <v>0</v>
      </c>
      <c r="H210" s="374"/>
      <c r="I210" s="151"/>
      <c r="J210" s="152"/>
      <c r="K210" s="121"/>
      <c r="L210" s="276"/>
      <c r="M210" s="123"/>
      <c r="N210" s="229"/>
      <c r="O210" s="125"/>
      <c r="P210" s="244"/>
      <c r="Q210" s="126"/>
      <c r="R210" s="213"/>
      <c r="S210" s="85"/>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row>
    <row r="211" spans="1:64" s="86" customFormat="1" ht="30.75" customHeight="1">
      <c r="A211" s="102" t="s">
        <v>859</v>
      </c>
      <c r="B211" s="130" t="s">
        <v>860</v>
      </c>
      <c r="C211" s="130">
        <f>"https://www.sae.org/attend/meetups/connected-automated-vehicle-connectivity-autonomous/"</f>
        <v>0</v>
      </c>
      <c r="D211" s="130"/>
      <c r="E211" s="91" t="s">
        <v>861</v>
      </c>
      <c r="F211" s="90" t="s">
        <v>862</v>
      </c>
      <c r="G211" s="136" t="s">
        <v>863</v>
      </c>
      <c r="H211" s="132" t="s">
        <v>864</v>
      </c>
      <c r="I211" s="162"/>
      <c r="J211" s="163"/>
      <c r="K211" s="108"/>
      <c r="L211" s="159">
        <f>"Registration:  https://www.sae.org/attend/meetups/connected-automated-vehicle-connectivity-autonomous/register"</f>
        <v>0</v>
      </c>
      <c r="M211" s="110"/>
      <c r="N211" s="98"/>
      <c r="O211" s="99" t="s">
        <v>865</v>
      </c>
      <c r="P211" s="130">
        <f>"https://www.sae.org/attend/meetups/"</f>
        <v>0</v>
      </c>
      <c r="Q211" s="100" t="s">
        <v>54</v>
      </c>
      <c r="R211" s="128" t="s">
        <v>55</v>
      </c>
      <c r="S211" s="85"/>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row>
    <row r="212" spans="1:64" s="86" customFormat="1" ht="37.5" customHeight="1">
      <c r="A212" s="102"/>
      <c r="B212" s="130"/>
      <c r="C212" s="130"/>
      <c r="D212" s="130"/>
      <c r="E212" s="91"/>
      <c r="F212" s="91"/>
      <c r="G212" s="136"/>
      <c r="H212" s="132" t="s">
        <v>866</v>
      </c>
      <c r="I212" s="162"/>
      <c r="J212" s="163"/>
      <c r="K212" s="108"/>
      <c r="L212" s="159"/>
      <c r="M212" s="110"/>
      <c r="N212" s="98"/>
      <c r="O212" s="99"/>
      <c r="P212" s="130"/>
      <c r="Q212" s="100"/>
      <c r="R212" s="128"/>
      <c r="S212" s="85"/>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row>
    <row r="213" spans="1:64" s="86" customFormat="1" ht="28.5" customHeight="1">
      <c r="A213" s="102"/>
      <c r="B213" s="130"/>
      <c r="C213" s="130"/>
      <c r="D213" s="130"/>
      <c r="E213" s="91"/>
      <c r="F213" s="91"/>
      <c r="G213" s="136"/>
      <c r="H213" s="132" t="s">
        <v>867</v>
      </c>
      <c r="I213" s="162"/>
      <c r="J213" s="163"/>
      <c r="K213" s="108"/>
      <c r="L213" s="159"/>
      <c r="M213" s="110"/>
      <c r="N213" s="98"/>
      <c r="O213" s="99"/>
      <c r="P213" s="130"/>
      <c r="Q213" s="100"/>
      <c r="R213" s="128"/>
      <c r="S213" s="85"/>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row>
    <row r="214" spans="1:64" s="86" customFormat="1" ht="51.75" customHeight="1">
      <c r="A214" s="102" t="s">
        <v>868</v>
      </c>
      <c r="B214" s="130" t="s">
        <v>869</v>
      </c>
      <c r="C214" s="130">
        <f>"https://register.gotowebinar.com/register/6724615720878303501"</f>
        <v>0</v>
      </c>
      <c r="D214" s="130"/>
      <c r="E214" s="91" t="s">
        <v>870</v>
      </c>
      <c r="F214" s="90" t="s">
        <v>871</v>
      </c>
      <c r="G214" s="136" t="s">
        <v>872</v>
      </c>
      <c r="H214" s="132" t="s">
        <v>873</v>
      </c>
      <c r="I214" s="162"/>
      <c r="J214" s="163"/>
      <c r="K214" s="134"/>
      <c r="L214" s="210"/>
      <c r="M214" s="110"/>
      <c r="N214" s="98"/>
      <c r="O214" s="99" t="s">
        <v>874</v>
      </c>
      <c r="P214" s="183">
        <f>"https://www.itscanada.ca/events/event-list.html"</f>
        <v>0</v>
      </c>
      <c r="Q214" s="100" t="s">
        <v>54</v>
      </c>
      <c r="R214" s="128" t="s">
        <v>55</v>
      </c>
      <c r="S214" s="85"/>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row>
    <row r="215" spans="1:64" ht="48.75" customHeight="1">
      <c r="A215" s="102"/>
      <c r="B215" s="130"/>
      <c r="C215" s="130"/>
      <c r="D215" s="130"/>
      <c r="E215" s="91"/>
      <c r="F215" s="91"/>
      <c r="G215" s="136"/>
      <c r="H215" s="132"/>
      <c r="I215" s="162"/>
      <c r="J215" s="163"/>
      <c r="K215" s="134"/>
      <c r="L215" s="210"/>
      <c r="M215" s="110"/>
      <c r="N215" s="98"/>
      <c r="O215" s="125" t="s">
        <v>875</v>
      </c>
      <c r="P215" s="148">
        <f>"https://nrc.canada.ca/en"</f>
        <v>0</v>
      </c>
      <c r="Q215" s="100"/>
      <c r="R215" s="128"/>
      <c r="S215" s="85"/>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row>
    <row r="216" spans="1:64" ht="63" customHeight="1">
      <c r="A216" s="112" t="s">
        <v>595</v>
      </c>
      <c r="B216" s="113" t="s">
        <v>596</v>
      </c>
      <c r="C216" s="143">
        <f>"https://svem.ebems.com/"</f>
        <v>0</v>
      </c>
      <c r="D216" s="115" t="s">
        <v>524</v>
      </c>
      <c r="E216" s="116" t="s">
        <v>876</v>
      </c>
      <c r="F216" s="115" t="s">
        <v>598</v>
      </c>
      <c r="G216" s="117" t="s">
        <v>599</v>
      </c>
      <c r="H216" s="278"/>
      <c r="I216" s="215"/>
      <c r="J216" s="256"/>
      <c r="K216" s="121">
        <f>"https://svem.ebems.com/contact-en.html"</f>
        <v>0</v>
      </c>
      <c r="L216" s="154">
        <f>"Exhibitors &amp;ndash; Reserve your booth:  https://svem.ebems.com/reserve/reserve-your-booth.html"</f>
        <v>0</v>
      </c>
      <c r="M216" s="234"/>
      <c r="N216" s="277"/>
      <c r="O216" s="125" t="s">
        <v>600</v>
      </c>
      <c r="P216" s="115">
        <f aca="true" t="shared" si="2" ref="P216:P217">"https://emc-mec.ca/event/"</f>
        <v>0</v>
      </c>
      <c r="Q216" s="126" t="s">
        <v>67</v>
      </c>
      <c r="R216" s="127" t="s">
        <v>86</v>
      </c>
      <c r="S216" s="85"/>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row>
    <row r="217" spans="1:64" ht="28.5" customHeight="1">
      <c r="A217" s="112" t="s">
        <v>877</v>
      </c>
      <c r="B217" s="113" t="s">
        <v>878</v>
      </c>
      <c r="C217" s="143">
        <f>"https://evs33portland.org/"</f>
        <v>0</v>
      </c>
      <c r="D217" s="148" t="s">
        <v>879</v>
      </c>
      <c r="E217" s="116" t="s">
        <v>880</v>
      </c>
      <c r="F217" s="148" t="s">
        <v>881</v>
      </c>
      <c r="G217" s="117" t="s">
        <v>882</v>
      </c>
      <c r="H217" s="217" t="s">
        <v>757</v>
      </c>
      <c r="I217" s="215"/>
      <c r="J217" s="256">
        <f>"+1 (202) 408-0774"</f>
        <v>0</v>
      </c>
      <c r="K217" s="121">
        <f>"mailto: info@evs33portland.org"</f>
        <v>0</v>
      </c>
      <c r="L217" s="212">
        <f>"https://evs33portland.org/program/call-for-abstracts/"</f>
        <v>0</v>
      </c>
      <c r="M217" s="228"/>
      <c r="N217" s="229" t="s">
        <v>883</v>
      </c>
      <c r="O217" s="125" t="s">
        <v>600</v>
      </c>
      <c r="P217" s="148">
        <f t="shared" si="2"/>
        <v>0</v>
      </c>
      <c r="Q217" s="126" t="s">
        <v>884</v>
      </c>
      <c r="R217" s="213" t="s">
        <v>885</v>
      </c>
      <c r="S217" s="85"/>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row>
    <row r="218" spans="1:64" ht="75" customHeight="1">
      <c r="A218" s="112"/>
      <c r="B218" s="113"/>
      <c r="C218" s="143">
        <f>"https://forthmobility.org/events/the-33rd-international-electric-vehicle-symposium-and-forths-roadmap-conference"</f>
        <v>0</v>
      </c>
      <c r="D218" s="148"/>
      <c r="E218" s="116"/>
      <c r="F218" s="116"/>
      <c r="G218" s="117"/>
      <c r="H218" s="217"/>
      <c r="I218" s="119" t="s">
        <v>886</v>
      </c>
      <c r="J218" s="119"/>
      <c r="K218" s="121">
        <f>"Exhibitor&amp;rsquo;s Prospectus:   https://evs33portland.org/wp-content/uploads/2019/08/EVS33_Prospectus_19-08-21.pdf"</f>
        <v>0</v>
      </c>
      <c r="L218" s="212"/>
      <c r="M218" s="228"/>
      <c r="N218" s="229"/>
      <c r="O218" s="125"/>
      <c r="P218" s="148"/>
      <c r="Q218" s="126"/>
      <c r="R218" s="213"/>
      <c r="S218" s="85"/>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row>
    <row r="219" spans="1:64" ht="57" customHeight="1">
      <c r="A219" s="112" t="s">
        <v>887</v>
      </c>
      <c r="B219" s="148" t="s">
        <v>888</v>
      </c>
      <c r="C219" s="143">
        <f>"https://www.itscanada.ca/events/event-list.html/its/event-info/details/id/30"</f>
        <v>0</v>
      </c>
      <c r="D219" s="115" t="s">
        <v>889</v>
      </c>
      <c r="E219" s="239" t="s">
        <v>880</v>
      </c>
      <c r="F219" s="148" t="s">
        <v>890</v>
      </c>
      <c r="G219" s="117" t="s">
        <v>891</v>
      </c>
      <c r="H219" s="217"/>
      <c r="I219" s="348"/>
      <c r="J219" s="256"/>
      <c r="K219" s="121"/>
      <c r="L219" s="212"/>
      <c r="M219" s="228"/>
      <c r="N219" s="155"/>
      <c r="O219" s="125" t="s">
        <v>874</v>
      </c>
      <c r="P219" s="115">
        <f>"https://www.itscanada.ca/events/event-list.html"</f>
        <v>0</v>
      </c>
      <c r="Q219" s="248" t="s">
        <v>54</v>
      </c>
      <c r="R219" s="213" t="s">
        <v>55</v>
      </c>
      <c r="S219" s="85"/>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row>
    <row r="220" spans="1:64" ht="65.25" customHeight="1">
      <c r="A220" s="112" t="s">
        <v>892</v>
      </c>
      <c r="B220" s="115" t="s">
        <v>893</v>
      </c>
      <c r="C220" s="115">
        <f>"https://www.autonomousvehicletechnologyexpo.com/en/index.php"</f>
        <v>0</v>
      </c>
      <c r="D220" s="115" t="s">
        <v>628</v>
      </c>
      <c r="E220" s="116" t="s">
        <v>894</v>
      </c>
      <c r="F220" s="115" t="s">
        <v>895</v>
      </c>
      <c r="G220" s="216" t="s">
        <v>896</v>
      </c>
      <c r="H220" s="278"/>
      <c r="I220" s="377">
        <f>"Free Electronic-code Exhibition Pass:  https://www.autonomousvehicletechnologyexpo.com/en/register.php?f=ft"</f>
        <v>0</v>
      </c>
      <c r="J220" s="377"/>
      <c r="K220" s="377">
        <f>"Free Exhibition Pass by mail:  https://www.autonomousvehicletechnologyexpo.com/en/register.php"</f>
        <v>0</v>
      </c>
      <c r="L220" s="276"/>
      <c r="M220" s="123"/>
      <c r="N220" s="229"/>
      <c r="O220" s="286"/>
      <c r="P220" s="282"/>
      <c r="Q220" s="304" t="s">
        <v>85</v>
      </c>
      <c r="R220" s="289" t="s">
        <v>55</v>
      </c>
      <c r="S220" s="85"/>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row>
    <row r="221" spans="1:64" ht="27.75" customHeight="1">
      <c r="A221" s="112" t="s">
        <v>897</v>
      </c>
      <c r="B221" s="115"/>
      <c r="C221" s="148">
        <f>"https://www.autonomousvehicletechnologyexpo.com/en/conference.php"</f>
        <v>0</v>
      </c>
      <c r="D221" s="115"/>
      <c r="E221" s="116"/>
      <c r="F221" s="115"/>
      <c r="G221" s="216" t="s">
        <v>898</v>
      </c>
      <c r="H221" s="308" t="s">
        <v>899</v>
      </c>
      <c r="I221" s="378"/>
      <c r="J221" s="378"/>
      <c r="K221" s="378"/>
      <c r="L221" s="212">
        <f>"https://www.autonomousvehicletechnologyexpo.com/en/call-for-papers.php"</f>
        <v>0</v>
      </c>
      <c r="M221" s="123">
        <f>"https://www.autonomousvehicletechnologyexpo.com/en/submit-proposal.php"</f>
        <v>0</v>
      </c>
      <c r="N221" s="229"/>
      <c r="O221" s="286"/>
      <c r="P221" s="282"/>
      <c r="Q221" s="287" t="s">
        <v>900</v>
      </c>
      <c r="R221" s="379" t="s">
        <v>55</v>
      </c>
      <c r="S221" s="85"/>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row>
    <row r="222" spans="1:64" ht="27.75" customHeight="1">
      <c r="A222" s="112"/>
      <c r="B222" s="115"/>
      <c r="C222" s="115"/>
      <c r="D222" s="115"/>
      <c r="E222" s="116"/>
      <c r="F222" s="115"/>
      <c r="G222" s="216"/>
      <c r="H222" s="308" t="s">
        <v>901</v>
      </c>
      <c r="I222" s="378"/>
      <c r="J222" s="378"/>
      <c r="K222" s="378"/>
      <c r="L222" s="212"/>
      <c r="M222" s="123"/>
      <c r="N222" s="229"/>
      <c r="O222" s="286"/>
      <c r="P222" s="282"/>
      <c r="Q222" s="287"/>
      <c r="R222" s="379"/>
      <c r="S222" s="85"/>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row>
    <row r="223" spans="1:64" ht="66" customHeight="1">
      <c r="A223" s="112" t="s">
        <v>902</v>
      </c>
      <c r="B223" s="115"/>
      <c r="C223" s="115">
        <f>"https://www.testing-expo.com/europe/en/"</f>
        <v>0</v>
      </c>
      <c r="D223" s="115"/>
      <c r="E223" s="115"/>
      <c r="F223" s="115"/>
      <c r="G223" s="216">
        <f>"includes &amp;hellip; ADAS testing &amp;hellip; Occupant/pedestrian safety &amp;hellip; Data acquisition and signal analysis &amp;hellip; Telemetry systems &amp;hellip; Software test and development"</f>
        <v>0</v>
      </c>
      <c r="H223" s="308"/>
      <c r="I223" s="377">
        <f>"Free Electronic-code Testing-Exhibition Pass:  https://www.testing-expo.com/europe/en/register.php?f=ft"</f>
        <v>0</v>
      </c>
      <c r="J223" s="377"/>
      <c r="K223" s="377">
        <f>"Free Testing-Exhibition Pass by mail:  https://www.testing-expo.com/europe/en/register.php"</f>
        <v>0</v>
      </c>
      <c r="L223" s="212"/>
      <c r="M223" s="123"/>
      <c r="N223" s="380"/>
      <c r="O223" s="286"/>
      <c r="P223" s="282"/>
      <c r="Q223" s="304" t="s">
        <v>900</v>
      </c>
      <c r="R223" s="289" t="s">
        <v>55</v>
      </c>
      <c r="S223" s="85"/>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row>
    <row r="224" spans="1:64" s="86" customFormat="1" ht="65.25" customHeight="1">
      <c r="A224" s="87" t="s">
        <v>903</v>
      </c>
      <c r="B224" s="90" t="s">
        <v>904</v>
      </c>
      <c r="C224" s="90">
        <f>"https://runsignup.com/Race/NY/AllCities/SprintforSTEAM9k"</f>
        <v>0</v>
      </c>
      <c r="D224" s="90"/>
      <c r="E224" s="91" t="s">
        <v>905</v>
      </c>
      <c r="F224" s="90" t="s">
        <v>906</v>
      </c>
      <c r="G224" s="136">
        <f>"Sprint for STEAM is ready to energize the planet for an urgent cause: provide virtual education programs to those in critical need due to covid19."</f>
        <v>0</v>
      </c>
      <c r="H224" s="365"/>
      <c r="I224" s="250"/>
      <c r="J224" s="133"/>
      <c r="K224" s="319">
        <f>"mailto:events@teslasciencecenter.org"</f>
        <v>0</v>
      </c>
      <c r="L224" s="159">
        <f>"Registration:  https://runsignup.com/Race/Register/?raceId=93297&amp;eventId=409842"</f>
        <v>0</v>
      </c>
      <c r="M224" s="110">
        <f>"Fee: $45 until 2020/07/24 (was 06/30); $55 afterwards"</f>
        <v>0</v>
      </c>
      <c r="N224" s="381"/>
      <c r="O224" s="203" t="s">
        <v>66</v>
      </c>
      <c r="P224" s="323" t="s">
        <v>662</v>
      </c>
      <c r="Q224" s="307" t="s">
        <v>67</v>
      </c>
      <c r="R224" s="333" t="s">
        <v>68</v>
      </c>
      <c r="S224" s="85"/>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row>
    <row r="225" spans="1:19" s="86" customFormat="1" ht="57.75" customHeight="1">
      <c r="A225" s="87" t="s">
        <v>907</v>
      </c>
      <c r="B225" s="88" t="s">
        <v>908</v>
      </c>
      <c r="C225" s="89">
        <f>"https://chargedevs.com/newswire/dc-fast-charging-a-thermal-challenge-new-webinar/"</f>
        <v>0</v>
      </c>
      <c r="D225" s="183"/>
      <c r="E225" s="91" t="s">
        <v>909</v>
      </c>
      <c r="F225" s="90" t="s">
        <v>910</v>
      </c>
      <c r="G225" s="104" t="s">
        <v>911</v>
      </c>
      <c r="H225" s="132" t="s">
        <v>912</v>
      </c>
      <c r="I225" s="106"/>
      <c r="J225" s="107"/>
      <c r="K225" s="108"/>
      <c r="L225" s="159">
        <f>"Resistration:  https://us02web.zoom.us/webinar/register/5215877544217/WN_5wHDu7StSUaXS-P4CJ3aag"</f>
        <v>0</v>
      </c>
      <c r="M225" s="110"/>
      <c r="N225" s="146"/>
      <c r="O225" s="99" t="s">
        <v>153</v>
      </c>
      <c r="P225" s="183">
        <f>"https://chargedevs.com/category/sponsored/"</f>
        <v>0</v>
      </c>
      <c r="Q225" s="100" t="s">
        <v>54</v>
      </c>
      <c r="R225" s="128" t="s">
        <v>55</v>
      </c>
      <c r="S225" s="141"/>
    </row>
    <row r="226" spans="1:19" s="86" customFormat="1" ht="27.75" customHeight="1">
      <c r="A226" s="87" t="s">
        <v>913</v>
      </c>
      <c r="B226" s="88" t="s">
        <v>914</v>
      </c>
      <c r="C226" s="89">
        <f>"https://www.sae.org/attend/virtual-events/wcx-digital-summit"</f>
        <v>0</v>
      </c>
      <c r="D226" s="130" t="s">
        <v>657</v>
      </c>
      <c r="E226" s="91" t="s">
        <v>915</v>
      </c>
      <c r="F226" s="90" t="s">
        <v>560</v>
      </c>
      <c r="G226" s="104" t="s">
        <v>916</v>
      </c>
      <c r="H226" s="132"/>
      <c r="I226" s="106"/>
      <c r="J226" s="107"/>
      <c r="K226" s="134"/>
      <c r="L226" s="159">
        <f>"Registration:  https://register.rcsreg.com/r2/wcxds2020/ga/top.html"</f>
        <v>0</v>
      </c>
      <c r="M226" s="110"/>
      <c r="N226" s="146"/>
      <c r="O226" s="99" t="s">
        <v>83</v>
      </c>
      <c r="P226" s="130" t="s">
        <v>84</v>
      </c>
      <c r="Q226" s="100" t="s">
        <v>85</v>
      </c>
      <c r="R226" s="128" t="s">
        <v>55</v>
      </c>
      <c r="S226" s="141"/>
    </row>
    <row r="227" spans="1:19" s="86" customFormat="1" ht="27.75" customHeight="1">
      <c r="A227" s="87"/>
      <c r="B227" s="88"/>
      <c r="C227" s="89"/>
      <c r="D227" s="130"/>
      <c r="E227" s="91"/>
      <c r="F227" s="91"/>
      <c r="G227" s="104" t="s">
        <v>917</v>
      </c>
      <c r="H227" s="132"/>
      <c r="I227" s="106"/>
      <c r="J227" s="107"/>
      <c r="K227" s="134"/>
      <c r="L227" s="159"/>
      <c r="M227" s="110"/>
      <c r="N227" s="146"/>
      <c r="O227" s="99"/>
      <c r="P227" s="130"/>
      <c r="Q227" s="100"/>
      <c r="R227" s="128"/>
      <c r="S227" s="141"/>
    </row>
    <row r="228" spans="1:64" ht="100.5" customHeight="1">
      <c r="A228" s="382" t="s">
        <v>674</v>
      </c>
      <c r="B228" s="382" t="s">
        <v>918</v>
      </c>
      <c r="C228" s="383">
        <f>"https://www.sae.org/learn/content/c1603/"</f>
        <v>0</v>
      </c>
      <c r="D228" s="383" t="s">
        <v>552</v>
      </c>
      <c r="E228" s="384" t="s">
        <v>919</v>
      </c>
      <c r="F228" s="115" t="s">
        <v>455</v>
      </c>
      <c r="G228" s="385" t="s">
        <v>678</v>
      </c>
      <c r="H228" s="386" t="s">
        <v>457</v>
      </c>
      <c r="I228" s="119"/>
      <c r="J228" s="256"/>
      <c r="K228" s="121"/>
      <c r="L228" s="154" t="s">
        <v>920</v>
      </c>
      <c r="M228" s="234" t="s">
        <v>395</v>
      </c>
      <c r="N228" s="297"/>
      <c r="O228" s="125" t="s">
        <v>396</v>
      </c>
      <c r="P228" s="115" t="s">
        <v>397</v>
      </c>
      <c r="Q228" s="126" t="s">
        <v>54</v>
      </c>
      <c r="R228" s="213" t="s">
        <v>55</v>
      </c>
      <c r="S228" s="85"/>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row>
    <row r="229" spans="1:64" ht="36" customHeight="1">
      <c r="A229" s="112" t="s">
        <v>637</v>
      </c>
      <c r="B229" s="148" t="s">
        <v>638</v>
      </c>
      <c r="C229" s="143">
        <f>"http://www.ievexpo.org/eng/"</f>
        <v>0</v>
      </c>
      <c r="D229" s="148" t="s">
        <v>639</v>
      </c>
      <c r="E229" s="239" t="s">
        <v>921</v>
      </c>
      <c r="F229" s="148" t="s">
        <v>641</v>
      </c>
      <c r="G229" s="240" t="s">
        <v>642</v>
      </c>
      <c r="H229" s="217" t="s">
        <v>891</v>
      </c>
      <c r="I229" s="119"/>
      <c r="J229" s="120" t="s">
        <v>644</v>
      </c>
      <c r="K229" s="241">
        <f>"mailto:ieve@ievexpo.org"</f>
        <v>0</v>
      </c>
      <c r="L229" s="212">
        <f>"Conference schedule:  http://www.ievexpo.org/site/ieve2018/eng/contents/index.php?mid=0401"</f>
        <v>0</v>
      </c>
      <c r="M229" s="123"/>
      <c r="N229" s="123"/>
      <c r="O229" s="125"/>
      <c r="P229" s="148"/>
      <c r="Q229" s="126" t="s">
        <v>54</v>
      </c>
      <c r="R229" s="213" t="s">
        <v>55</v>
      </c>
      <c r="S229" s="85"/>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row>
    <row r="230" spans="1:64" ht="33.75" customHeight="1">
      <c r="A230" s="112"/>
      <c r="B230" s="148"/>
      <c r="C230" s="143"/>
      <c r="D230" s="148"/>
      <c r="E230" s="239"/>
      <c r="F230" s="148"/>
      <c r="G230" s="240"/>
      <c r="H230" s="217"/>
      <c r="I230" s="119"/>
      <c r="J230" s="120" t="s">
        <v>645</v>
      </c>
      <c r="K230" s="241"/>
      <c r="L230" s="212"/>
      <c r="M230" s="123"/>
      <c r="N230" s="123"/>
      <c r="O230" s="125"/>
      <c r="P230" s="148"/>
      <c r="Q230" s="126"/>
      <c r="R230" s="213"/>
      <c r="S230" s="85"/>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row>
    <row r="231" spans="1:64" s="86" customFormat="1" ht="69" customHeight="1">
      <c r="A231" s="87">
        <f>"Did you know you can retrofit your car to electric today?"</f>
        <v>0</v>
      </c>
      <c r="B231" s="183" t="s">
        <v>922</v>
      </c>
      <c r="C231" s="89">
        <f>"https://mailchi.mp/avere.org/the-avere-e-mobility-bulletin-evs32-wevj-avere-events-532762?e=f6ca89c8a5"</f>
        <v>0</v>
      </c>
      <c r="D231" s="183" t="s">
        <v>337</v>
      </c>
      <c r="E231" s="188" t="s">
        <v>923</v>
      </c>
      <c r="F231" s="183" t="s">
        <v>924</v>
      </c>
      <c r="G231" s="306" t="s">
        <v>925</v>
      </c>
      <c r="H231" s="132" t="s">
        <v>926</v>
      </c>
      <c r="I231" s="106"/>
      <c r="J231" s="107"/>
      <c r="K231" s="108"/>
      <c r="L231" s="159">
        <f>"Registration:  https://us02web.zoom.us/webinar/register/WN_l9MMgRuwSCa0FoAeqz33VQ"</f>
        <v>0</v>
      </c>
      <c r="M231" s="110"/>
      <c r="N231" s="110"/>
      <c r="O231" s="99" t="s">
        <v>187</v>
      </c>
      <c r="P231" s="183" t="s">
        <v>340</v>
      </c>
      <c r="Q231" s="100" t="s">
        <v>85</v>
      </c>
      <c r="R231" s="101" t="s">
        <v>86</v>
      </c>
      <c r="S231" s="85"/>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row>
    <row r="232" spans="1:64" ht="45" customHeight="1">
      <c r="A232" s="382" t="s">
        <v>927</v>
      </c>
      <c r="B232" s="382" t="s">
        <v>928</v>
      </c>
      <c r="C232" s="383">
        <f>"https://www.avere.org/event/power2drive-europe-2020/?instance_id=42"</f>
        <v>0</v>
      </c>
      <c r="D232" s="383" t="s">
        <v>929</v>
      </c>
      <c r="E232" s="384" t="s">
        <v>930</v>
      </c>
      <c r="F232" s="115" t="s">
        <v>931</v>
      </c>
      <c r="G232" s="385" t="s">
        <v>932</v>
      </c>
      <c r="H232" s="386" t="s">
        <v>933</v>
      </c>
      <c r="I232" s="119"/>
      <c r="J232" s="219"/>
      <c r="K232" s="241">
        <f>"Contact Form:  https://www.avere.org/#contact"</f>
        <v>0</v>
      </c>
      <c r="L232" s="154">
        <f>"Quick Facts:  https://www.powertodrive.de/en/for-visitors/exhibition/quick-facts"</f>
        <v>0</v>
      </c>
      <c r="M232" s="123"/>
      <c r="N232" s="297"/>
      <c r="O232" s="236" t="s">
        <v>187</v>
      </c>
      <c r="P232" s="387" t="s">
        <v>340</v>
      </c>
      <c r="Q232" s="126" t="s">
        <v>54</v>
      </c>
      <c r="R232" s="213" t="s">
        <v>55</v>
      </c>
      <c r="S232" s="85"/>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row>
    <row r="233" spans="1:64" ht="46.5" customHeight="1">
      <c r="A233" s="382"/>
      <c r="B233" s="382"/>
      <c r="C233" s="383"/>
      <c r="D233" s="383"/>
      <c r="E233" s="384"/>
      <c r="F233" s="115"/>
      <c r="G233" s="385"/>
      <c r="H233" s="386"/>
      <c r="I233" s="119"/>
      <c r="J233" s="219"/>
      <c r="K233" s="241"/>
      <c r="L233" s="154">
        <f>"Program overview:  https://www.powertodrive.de/en/conference/program/program-overview"</f>
        <v>0</v>
      </c>
      <c r="M233" s="123"/>
      <c r="N233" s="297"/>
      <c r="O233" s="388" t="s">
        <v>190</v>
      </c>
      <c r="P233" s="358">
        <f>"https://www.powertodrive.de/en/home"</f>
        <v>0</v>
      </c>
      <c r="Q233" s="126"/>
      <c r="R233" s="213"/>
      <c r="S233" s="85"/>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row>
    <row r="234" spans="1:19" s="86" customFormat="1" ht="85.5" customHeight="1">
      <c r="A234" s="87" t="s">
        <v>281</v>
      </c>
      <c r="B234" s="88" t="s">
        <v>282</v>
      </c>
      <c r="C234" s="89">
        <f>"https://teslasciencecenter.org/events/tesla-steam-camp/"</f>
        <v>0</v>
      </c>
      <c r="D234" s="90" t="s">
        <v>323</v>
      </c>
      <c r="E234" s="91" t="s">
        <v>790</v>
      </c>
      <c r="F234" s="90" t="s">
        <v>652</v>
      </c>
      <c r="G234" s="104" t="s">
        <v>653</v>
      </c>
      <c r="H234" s="132" t="s">
        <v>326</v>
      </c>
      <c r="I234" s="106"/>
      <c r="J234" s="107"/>
      <c r="K234" s="108"/>
      <c r="L234" s="159">
        <f>"Registration:  https://teslasciencecenter.z2systems.com/np/clients/teslasciencecenter/eventRegistration.jsp?event=465&amp;"</f>
        <v>0</v>
      </c>
      <c r="M234" s="317" t="s">
        <v>791</v>
      </c>
      <c r="N234" s="146">
        <f>"Registration:  https://teslasciencecenter.z2systems.com/np/clients/teslasciencecenter/eventRegistration.jsp?event=424&amp;"</f>
        <v>0</v>
      </c>
      <c r="O234" s="99" t="s">
        <v>66</v>
      </c>
      <c r="P234" s="183">
        <f>"https://teslasciencecenter.org/events/"</f>
        <v>0</v>
      </c>
      <c r="Q234" s="100" t="s">
        <v>67</v>
      </c>
      <c r="R234" s="101" t="s">
        <v>68</v>
      </c>
      <c r="S234" s="141"/>
    </row>
    <row r="235" spans="1:64" ht="38.25" customHeight="1">
      <c r="A235" s="389" t="s">
        <v>934</v>
      </c>
      <c r="B235" s="390" t="s">
        <v>935</v>
      </c>
      <c r="C235" s="391">
        <f>"https://www.intertraffic.com/china/"</f>
        <v>0</v>
      </c>
      <c r="D235" s="282" t="s">
        <v>936</v>
      </c>
      <c r="E235" s="283" t="s">
        <v>937</v>
      </c>
      <c r="F235" s="282" t="s">
        <v>938</v>
      </c>
      <c r="G235" s="392" t="s">
        <v>939</v>
      </c>
      <c r="H235" s="393" t="s">
        <v>891</v>
      </c>
      <c r="I235" s="394"/>
      <c r="J235" s="395"/>
      <c r="K235" s="233">
        <f>"https://www.intertraffic.com/contact/"</f>
        <v>0</v>
      </c>
      <c r="L235" s="288">
        <f>"Exhibitor's info: https://www.intertraffic.com/china/exhibiting/"</f>
        <v>0</v>
      </c>
      <c r="M235" s="234">
        <f>"About:  https://www.intertraffic.com/china/exhibition-info/"</f>
        <v>0</v>
      </c>
      <c r="N235" s="277"/>
      <c r="O235" s="394" t="s">
        <v>540</v>
      </c>
      <c r="P235" s="395">
        <f>"https://www.intertraffic.com/"</f>
        <v>0</v>
      </c>
      <c r="Q235" s="343" t="s">
        <v>54</v>
      </c>
      <c r="R235" s="289" t="s">
        <v>55</v>
      </c>
      <c r="S235" s="85"/>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row>
    <row r="236" spans="1:64" s="86" customFormat="1" ht="89.25" customHeight="1">
      <c r="A236" s="320" t="s">
        <v>940</v>
      </c>
      <c r="B236" s="321" t="s">
        <v>941</v>
      </c>
      <c r="C236" s="322">
        <f>"https://register.gotowebinar.com/register/7948837256652539407"</f>
        <v>0</v>
      </c>
      <c r="D236" s="323"/>
      <c r="E236" s="324" t="s">
        <v>942</v>
      </c>
      <c r="F236" s="323" t="s">
        <v>943</v>
      </c>
      <c r="G236" s="325">
        <f>"&amp;hellip; learn everything you always wanted to know about EVs."</f>
        <v>0</v>
      </c>
      <c r="H236" s="190" t="s">
        <v>944</v>
      </c>
      <c r="I236" s="203" t="s">
        <v>945</v>
      </c>
      <c r="J236" s="323"/>
      <c r="K236" s="108"/>
      <c r="L236" s="396"/>
      <c r="M236" s="110"/>
      <c r="N236" s="98"/>
      <c r="O236" s="99" t="s">
        <v>874</v>
      </c>
      <c r="P236" s="183">
        <f>"https://www.itscanada.ca/events/event-list.html"</f>
        <v>0</v>
      </c>
      <c r="Q236" s="307" t="s">
        <v>54</v>
      </c>
      <c r="R236" s="333" t="s">
        <v>55</v>
      </c>
      <c r="S236" s="85"/>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row>
    <row r="237" spans="1:64" s="86" customFormat="1" ht="53.25" customHeight="1">
      <c r="A237" s="87" t="s">
        <v>946</v>
      </c>
      <c r="B237" s="90" t="s">
        <v>947</v>
      </c>
      <c r="C237" s="90">
        <f>"https://teslasciencecenter.org/events/tesla-unwired-podcast/"</f>
        <v>0</v>
      </c>
      <c r="D237" s="90"/>
      <c r="E237" s="91" t="s">
        <v>948</v>
      </c>
      <c r="F237" s="90" t="s">
        <v>949</v>
      </c>
      <c r="G237" s="104" t="s">
        <v>950</v>
      </c>
      <c r="H237" s="132" t="s">
        <v>951</v>
      </c>
      <c r="I237" s="318"/>
      <c r="J237" s="133"/>
      <c r="K237" s="319">
        <f>"mailto:events@teslasciencecenter.org"</f>
        <v>0</v>
      </c>
      <c r="L237" s="362">
        <f>"https://teslasciencecenter.z2systems.com/np/clients/teslasciencecenter/eventRegistration.jsp?event=531&amp;"</f>
        <v>0</v>
      </c>
      <c r="M237" s="183"/>
      <c r="N237" s="183"/>
      <c r="O237" s="99" t="s">
        <v>66</v>
      </c>
      <c r="P237" s="183">
        <f>"https://teslasciencecenter.org/events/"</f>
        <v>0</v>
      </c>
      <c r="Q237" s="100" t="s">
        <v>67</v>
      </c>
      <c r="R237" s="101" t="s">
        <v>68</v>
      </c>
      <c r="S237" s="85"/>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row>
    <row r="238" spans="1:64" ht="60.75" customHeight="1">
      <c r="A238" s="389" t="s">
        <v>952</v>
      </c>
      <c r="B238" s="390" t="s">
        <v>953</v>
      </c>
      <c r="C238" s="391">
        <f>"https://www.sae.org/learn/content/c1893/"</f>
        <v>0</v>
      </c>
      <c r="D238" s="282" t="s">
        <v>552</v>
      </c>
      <c r="E238" s="283" t="s">
        <v>954</v>
      </c>
      <c r="F238" s="282" t="s">
        <v>455</v>
      </c>
      <c r="G238" s="392" t="s">
        <v>955</v>
      </c>
      <c r="H238" s="393" t="s">
        <v>457</v>
      </c>
      <c r="I238" s="394"/>
      <c r="J238" s="395"/>
      <c r="K238" s="233"/>
      <c r="L238" s="288" t="s">
        <v>458</v>
      </c>
      <c r="M238" s="234" t="s">
        <v>459</v>
      </c>
      <c r="N238" s="277"/>
      <c r="O238" s="125" t="s">
        <v>396</v>
      </c>
      <c r="P238" s="148">
        <f>"https://www.sae.org/learn/professional-development"</f>
        <v>0</v>
      </c>
      <c r="Q238" s="248" t="s">
        <v>54</v>
      </c>
      <c r="R238" s="213" t="s">
        <v>55</v>
      </c>
      <c r="S238" s="85"/>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row>
    <row r="239" spans="1:64" s="86" customFormat="1" ht="50.25" customHeight="1">
      <c r="A239" s="397">
        <f>"Drive-In Movie:&amp;nbsp; The Current War (Director&amp;rsquo;s&amp;nbsp;Cut)"</f>
        <v>0</v>
      </c>
      <c r="B239" s="321" t="s">
        <v>956</v>
      </c>
      <c r="C239" s="322">
        <f>"https://teslasciencecenter.z2systems.com/np/clients/teslasciencecenter/viewOnlineEmail.jsp?emailId=5e70b3acabe06d269779630cea947bd65m13112645e7"</f>
        <v>0</v>
      </c>
      <c r="D239" s="323" t="s">
        <v>488</v>
      </c>
      <c r="E239" s="324" t="s">
        <v>957</v>
      </c>
      <c r="F239" s="323" t="s">
        <v>958</v>
      </c>
      <c r="G239" s="325">
        <f>"The epic War of the Currents comes to life on the big screen as Nikola Tesla, Thomas Edison, and George Westinghouse battle it out to determine AC over DC power and change history."</f>
        <v>0</v>
      </c>
      <c r="H239" s="190"/>
      <c r="I239" s="203" t="s">
        <v>959</v>
      </c>
      <c r="J239" s="323"/>
      <c r="K239" s="134">
        <f>"mailto:events@teslasciencecenter.org"</f>
        <v>0</v>
      </c>
      <c r="L239" s="398">
        <f>"https://www.imdb.com/title/tt2140507/"</f>
        <v>0</v>
      </c>
      <c r="M239" s="110">
        <f>"https://en.wikipedia.org/wiki/The_Current_War"</f>
        <v>0</v>
      </c>
      <c r="N239" s="98"/>
      <c r="O239" s="99" t="s">
        <v>66</v>
      </c>
      <c r="P239" s="130" t="s">
        <v>662</v>
      </c>
      <c r="Q239" s="187" t="s">
        <v>67</v>
      </c>
      <c r="R239" s="101" t="s">
        <v>68</v>
      </c>
      <c r="S239" s="85"/>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row>
    <row r="240" spans="1:64" s="86" customFormat="1" ht="50.25" customHeight="1">
      <c r="A240" s="397"/>
      <c r="B240" s="321"/>
      <c r="C240" s="322"/>
      <c r="D240" s="323"/>
      <c r="E240" s="324" t="s">
        <v>960</v>
      </c>
      <c r="F240" s="323"/>
      <c r="G240" s="325"/>
      <c r="H240" s="190"/>
      <c r="I240" s="203"/>
      <c r="J240" s="323"/>
      <c r="K240" s="134"/>
      <c r="L240" s="398"/>
      <c r="M240" s="110"/>
      <c r="N240" s="98"/>
      <c r="O240" s="99"/>
      <c r="P240" s="130"/>
      <c r="Q240" s="187"/>
      <c r="R240" s="101"/>
      <c r="S240" s="85"/>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row>
    <row r="241" spans="1:64" ht="58.5" customHeight="1">
      <c r="A241" s="382" t="s">
        <v>961</v>
      </c>
      <c r="B241" s="382">
        <f>"acad06-20-6"</f>
        <v>0</v>
      </c>
      <c r="C241" s="383">
        <f>"https://www.sae.org/learn/content/acad06/"</f>
        <v>0</v>
      </c>
      <c r="D241" s="383" t="s">
        <v>552</v>
      </c>
      <c r="E241" s="384" t="s">
        <v>962</v>
      </c>
      <c r="F241" s="369" t="s">
        <v>963</v>
      </c>
      <c r="G241" s="385" t="s">
        <v>964</v>
      </c>
      <c r="H241" s="386" t="s">
        <v>965</v>
      </c>
      <c r="I241" s="119"/>
      <c r="J241" s="256"/>
      <c r="K241" s="121"/>
      <c r="L241" s="212" t="s">
        <v>966</v>
      </c>
      <c r="M241" s="123" t="s">
        <v>967</v>
      </c>
      <c r="N241" s="399" t="s">
        <v>968</v>
      </c>
      <c r="O241" s="125" t="s">
        <v>396</v>
      </c>
      <c r="P241" s="148">
        <f aca="true" t="shared" si="3" ref="P241:P242">"https://www.sae.org/learn/professional-development"</f>
        <v>0</v>
      </c>
      <c r="Q241" s="248" t="s">
        <v>54</v>
      </c>
      <c r="R241" s="213" t="s">
        <v>55</v>
      </c>
      <c r="S241" s="85"/>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row>
    <row r="242" spans="1:64" s="86" customFormat="1" ht="60.75" customHeight="1">
      <c r="A242" s="87" t="s">
        <v>969</v>
      </c>
      <c r="B242" s="88" t="s">
        <v>970</v>
      </c>
      <c r="C242" s="89">
        <f>"https://www.sae.org/learn/content/c1935/"</f>
        <v>0</v>
      </c>
      <c r="D242" s="90" t="s">
        <v>657</v>
      </c>
      <c r="E242" s="91" t="s">
        <v>971</v>
      </c>
      <c r="F242" s="90" t="s">
        <v>499</v>
      </c>
      <c r="G242" s="306" t="s">
        <v>972</v>
      </c>
      <c r="H242" s="132">
        <f>"Instructor: Rajeev Thakur"</f>
        <v>0</v>
      </c>
      <c r="I242" s="135"/>
      <c r="J242" s="202"/>
      <c r="K242" s="108"/>
      <c r="L242" s="210" t="s">
        <v>973</v>
      </c>
      <c r="M242" s="173" t="s">
        <v>459</v>
      </c>
      <c r="N242" s="400"/>
      <c r="O242" s="199" t="s">
        <v>396</v>
      </c>
      <c r="P242" s="90">
        <f t="shared" si="3"/>
        <v>0</v>
      </c>
      <c r="Q242" s="100" t="s">
        <v>54</v>
      </c>
      <c r="R242" s="128" t="s">
        <v>55</v>
      </c>
      <c r="S242" s="85"/>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row>
    <row r="243" spans="1:64" s="86" customFormat="1" ht="51.75" customHeight="1">
      <c r="A243" s="102">
        <f>"2020 IEEE Transportation Electrification Conference and Expo (ITEC)"</f>
        <v>0</v>
      </c>
      <c r="B243" s="88" t="s">
        <v>974</v>
      </c>
      <c r="C243" s="89">
        <f>"http://itec-conf.com/"</f>
        <v>0</v>
      </c>
      <c r="D243" s="130" t="s">
        <v>603</v>
      </c>
      <c r="E243" s="91" t="s">
        <v>975</v>
      </c>
      <c r="F243" s="130" t="s">
        <v>976</v>
      </c>
      <c r="G243" s="306" t="s">
        <v>977</v>
      </c>
      <c r="H243" s="132">
        <f>"Virtual info.:  https://mailchi.mp/885d6af3ed8f/itec-2020-program-highlight-4112977?e=e9563d2192"</f>
        <v>0</v>
      </c>
      <c r="I243" s="106"/>
      <c r="J243" s="107"/>
      <c r="K243" s="108">
        <f>"https://itec-conf.com/contact-us/"</f>
        <v>0</v>
      </c>
      <c r="L243" s="159">
        <f>"https://itec-conf.com/call-for-papers/"</f>
        <v>0</v>
      </c>
      <c r="M243" s="110">
        <f>"https://itec-conf.com/authors/abstracts-digests/ opening 2019/10/01"</f>
        <v>0</v>
      </c>
      <c r="N243" s="146">
        <f>"One-page abstract and 5-page digest due 2020/01/06 (extended from 2019/12/15 and 12/01)"</f>
        <v>0</v>
      </c>
      <c r="O243" s="359" t="s">
        <v>854</v>
      </c>
      <c r="P243" s="130">
        <f>"http://tec.ieee.org/conferences-workshops"</f>
        <v>0</v>
      </c>
      <c r="Q243" s="360" t="s">
        <v>85</v>
      </c>
      <c r="R243" s="363" t="s">
        <v>86</v>
      </c>
      <c r="S243" s="85"/>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row>
    <row r="244" spans="1:64" ht="54" customHeight="1">
      <c r="A244" s="102"/>
      <c r="B244" s="88"/>
      <c r="C244" s="89"/>
      <c r="D244" s="130"/>
      <c r="E244" s="91"/>
      <c r="F244" s="130"/>
      <c r="G244" s="306"/>
      <c r="H244" s="132" t="s">
        <v>978</v>
      </c>
      <c r="I244" s="106"/>
      <c r="J244" s="107"/>
      <c r="K244" s="134">
        <f>"Sign up for updates:  https://us11.list-manage.com/subscribe?u=a3b42f922c6c24781f677755e&amp;id=57d8e51eac"</f>
        <v>0</v>
      </c>
      <c r="L244" s="159"/>
      <c r="M244" s="401">
        <f>"Speakers Proposals:  https://itec-conf.com/call-for-speaking-proposals/"</f>
        <v>0</v>
      </c>
      <c r="N244" s="146"/>
      <c r="O244" s="359"/>
      <c r="P244" s="130"/>
      <c r="Q244" s="360"/>
      <c r="R244" s="363"/>
      <c r="S244" s="85"/>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row>
    <row r="245" spans="1:64" s="86" customFormat="1" ht="60" customHeight="1">
      <c r="A245" s="102"/>
      <c r="B245" s="88"/>
      <c r="C245" s="89"/>
      <c r="D245" s="130"/>
      <c r="E245" s="130"/>
      <c r="F245" s="130"/>
      <c r="G245" s="306"/>
      <c r="H245" s="132"/>
      <c r="I245" s="106"/>
      <c r="J245" s="107"/>
      <c r="K245" s="134"/>
      <c r="L245" s="402">
        <f>"Student travel grant (up to $800):  https://itec-conf.com/travel-awards/"</f>
        <v>0</v>
      </c>
      <c r="M245" s="403" t="s">
        <v>979</v>
      </c>
      <c r="N245" s="207"/>
      <c r="O245" s="359"/>
      <c r="P245" s="130"/>
      <c r="Q245" s="360"/>
      <c r="R245" s="363"/>
      <c r="S245" s="85"/>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row>
    <row r="246" spans="1:64" ht="45.75" customHeight="1">
      <c r="A246" s="112" t="s">
        <v>980</v>
      </c>
      <c r="B246" s="113" t="s">
        <v>981</v>
      </c>
      <c r="C246" s="143">
        <f>"https://www.evsummit.biz/"</f>
        <v>0</v>
      </c>
      <c r="D246" s="115" t="s">
        <v>982</v>
      </c>
      <c r="E246" s="116" t="s">
        <v>983</v>
      </c>
      <c r="F246" s="115" t="s">
        <v>984</v>
      </c>
      <c r="G246" s="117" t="s">
        <v>985</v>
      </c>
      <c r="H246" s="308" t="s">
        <v>891</v>
      </c>
      <c r="I246" s="119"/>
      <c r="J246" s="256">
        <f>"+353 (0) 1 241 1520"</f>
        <v>0</v>
      </c>
      <c r="K246" s="121">
        <f>"https://www.evsummit.biz/contact"</f>
        <v>0</v>
      </c>
      <c r="L246" s="212">
        <f>"Tickets:  https://www.eventbrite.co.uk/e/the-ev-summit-2020-tickets-75825136023"</f>
        <v>0</v>
      </c>
      <c r="M246" s="228"/>
      <c r="N246" s="121"/>
      <c r="O246" s="286" t="s">
        <v>187</v>
      </c>
      <c r="P246" s="369">
        <f>"http://avere.org/"</f>
        <v>0</v>
      </c>
      <c r="Q246" s="155" t="s">
        <v>54</v>
      </c>
      <c r="R246" s="213" t="s">
        <v>55</v>
      </c>
      <c r="S246" s="85"/>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row>
    <row r="247" spans="1:19" s="86" customFormat="1" ht="60" customHeight="1">
      <c r="A247" s="87" t="s">
        <v>986</v>
      </c>
      <c r="B247" s="88" t="s">
        <v>987</v>
      </c>
      <c r="C247" s="89">
        <f>"https://www.act-news.com/webinar/preparing-for-an-ev-fleet-calculating-total-cost-of-ownership/"</f>
        <v>0</v>
      </c>
      <c r="D247" s="90"/>
      <c r="E247" s="91" t="s">
        <v>988</v>
      </c>
      <c r="F247" s="90" t="s">
        <v>989</v>
      </c>
      <c r="G247" s="104">
        <f>"&amp;hellip; for a fleet making the transition to electric is understanding the costs (and cost-savings) involved with deploying EVs."</f>
        <v>0</v>
      </c>
      <c r="H247" s="365" t="s">
        <v>990</v>
      </c>
      <c r="I247" s="106"/>
      <c r="J247" s="198"/>
      <c r="K247" s="108"/>
      <c r="L247" s="159">
        <f>"registration:  http://subscribe.act-news.com/PGE.June.Webinar.Registration"</f>
        <v>0</v>
      </c>
      <c r="M247" s="97"/>
      <c r="N247" s="108"/>
      <c r="O247" s="203" t="s">
        <v>420</v>
      </c>
      <c r="P247" s="204" t="s">
        <v>991</v>
      </c>
      <c r="Q247" s="329" t="s">
        <v>54</v>
      </c>
      <c r="R247" s="128" t="s">
        <v>55</v>
      </c>
      <c r="S247" s="85"/>
    </row>
    <row r="248" spans="1:19" s="86" customFormat="1" ht="29.25" customHeight="1">
      <c r="A248" s="87"/>
      <c r="B248" s="88"/>
      <c r="C248" s="89"/>
      <c r="D248" s="90"/>
      <c r="E248" s="91"/>
      <c r="F248" s="90"/>
      <c r="G248" s="104"/>
      <c r="H248" s="365" t="s">
        <v>992</v>
      </c>
      <c r="I248" s="106"/>
      <c r="J248" s="198"/>
      <c r="K248" s="108"/>
      <c r="L248" s="159"/>
      <c r="M248" s="97"/>
      <c r="N248" s="108"/>
      <c r="O248" s="203"/>
      <c r="P248" s="204"/>
      <c r="Q248" s="329"/>
      <c r="R248" s="128"/>
      <c r="S248" s="85"/>
    </row>
    <row r="249" spans="1:19" s="86" customFormat="1" ht="29.25" customHeight="1">
      <c r="A249" s="87"/>
      <c r="B249" s="88"/>
      <c r="C249" s="89"/>
      <c r="D249" s="90"/>
      <c r="E249" s="91"/>
      <c r="F249" s="90"/>
      <c r="G249" s="104"/>
      <c r="H249" s="365" t="s">
        <v>993</v>
      </c>
      <c r="I249" s="106"/>
      <c r="J249" s="198"/>
      <c r="K249" s="108"/>
      <c r="L249" s="159"/>
      <c r="M249" s="97"/>
      <c r="N249" s="108"/>
      <c r="O249" s="203"/>
      <c r="P249" s="204"/>
      <c r="Q249" s="329"/>
      <c r="R249" s="128"/>
      <c r="S249" s="85"/>
    </row>
    <row r="250" spans="1:64" ht="78.75" customHeight="1">
      <c r="A250" s="404">
        <f>"[31&lt;sup&gt;st&lt;/sup&gt;] IEEE Intelligent Vehicles Symposium &amp;ndash; IV2020"</f>
        <v>0</v>
      </c>
      <c r="B250" s="280" t="s">
        <v>994</v>
      </c>
      <c r="C250" s="281">
        <f>"https://2020.ieee-iv.org/"</f>
        <v>0</v>
      </c>
      <c r="D250" s="282" t="s">
        <v>48</v>
      </c>
      <c r="E250" s="283" t="s">
        <v>995</v>
      </c>
      <c r="F250" s="282" t="s">
        <v>996</v>
      </c>
      <c r="G250" s="392" t="s">
        <v>997</v>
      </c>
      <c r="H250" s="405"/>
      <c r="I250" s="231"/>
      <c r="J250" s="232"/>
      <c r="K250" s="406">
        <f>"https://2020.ieee-iv.org/contact-us/"</f>
        <v>0</v>
      </c>
      <c r="L250" s="407">
        <f>"Workshop and Tutorial Proposals:  https://2020.ieee-iv.org/workshops-tutorials-call-for-proposals/"</f>
        <v>0</v>
      </c>
      <c r="M250" s="293">
        <f>"Detailed Instructions:  https://2020.ieee-iv.org/wp-content/uploads/2019/11/IV2020-call-for-workshop-tutorial-proposals.pdf"</f>
        <v>0</v>
      </c>
      <c r="N250" s="294" t="s">
        <v>998</v>
      </c>
      <c r="O250" s="286" t="s">
        <v>519</v>
      </c>
      <c r="P250" s="282">
        <f>"https://www.ieee-itss.org/"</f>
        <v>0</v>
      </c>
      <c r="Q250" s="370" t="s">
        <v>54</v>
      </c>
      <c r="R250" s="289" t="s">
        <v>55</v>
      </c>
      <c r="S250" s="85"/>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row>
    <row r="251" spans="1:64" ht="44.25" customHeight="1">
      <c r="A251" s="404"/>
      <c r="B251" s="280"/>
      <c r="C251" s="281"/>
      <c r="D251" s="282"/>
      <c r="E251" s="283"/>
      <c r="F251" s="408" t="s">
        <v>999</v>
      </c>
      <c r="G251" s="392"/>
      <c r="H251" s="405"/>
      <c r="I251" s="231"/>
      <c r="J251" s="232"/>
      <c r="K251" s="406"/>
      <c r="L251" s="407">
        <f>"Full-Paper Submission:  https://2020.ieee-iv.org/call-for-paper/"</f>
        <v>0</v>
      </c>
      <c r="M251" s="293">
        <f>"Information for authors:  https://2020.ieee-iv.org/information-for-authors/"</f>
        <v>0</v>
      </c>
      <c r="N251" s="294" t="s">
        <v>1000</v>
      </c>
      <c r="O251" s="286"/>
      <c r="P251" s="282"/>
      <c r="Q251" s="370"/>
      <c r="R251" s="289"/>
      <c r="S251" s="85"/>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row>
    <row r="252" spans="1:64" ht="51" customHeight="1">
      <c r="A252" s="404"/>
      <c r="B252" s="280"/>
      <c r="C252" s="281"/>
      <c r="D252" s="282"/>
      <c r="E252" s="283"/>
      <c r="F252" s="408"/>
      <c r="G252" s="392"/>
      <c r="H252" s="405"/>
      <c r="I252" s="231"/>
      <c r="J252" s="232"/>
      <c r="K252" s="406"/>
      <c r="L252" s="407">
        <f>"List of accepted workshops:  https://2020.ieee-iv.org/workshops-tutorials/"</f>
        <v>0</v>
      </c>
      <c r="M252" s="293">
        <f>"Submission portal:  https://its.papercept.net/conferences/scripts/start.pl"</f>
        <v>0</v>
      </c>
      <c r="N252" s="294" t="s">
        <v>1001</v>
      </c>
      <c r="O252" s="286"/>
      <c r="P252" s="282"/>
      <c r="Q252" s="370"/>
      <c r="R252" s="289"/>
      <c r="S252" s="85"/>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row>
    <row r="253" spans="1:64" ht="60.75" customHeight="1">
      <c r="A253" s="409" t="s">
        <v>1002</v>
      </c>
      <c r="B253" s="280" t="s">
        <v>1003</v>
      </c>
      <c r="C253" s="281">
        <f>"http://rstrail.nl/new/course-structure/trail-international-phd-summer-school-2020/"</f>
        <v>0</v>
      </c>
      <c r="D253" s="282" t="s">
        <v>1004</v>
      </c>
      <c r="E253" s="283" t="s">
        <v>1005</v>
      </c>
      <c r="F253" s="282" t="s">
        <v>1006</v>
      </c>
      <c r="G253" s="392" t="s">
        <v>1007</v>
      </c>
      <c r="H253" s="405" t="s">
        <v>1008</v>
      </c>
      <c r="I253" s="231"/>
      <c r="J253" s="410">
        <f>"(+31) 015-2786046"</f>
        <v>0</v>
      </c>
      <c r="K253" s="233"/>
      <c r="L253" s="300">
        <f>"Application form:  https://docs.google.com/forms/d/e/1FAIpQLScKRD7f4a5aSm2dgcrHqdvh1GrFiP_sHk-Yy87Z-PaOPNClZw/viewform"</f>
        <v>0</v>
      </c>
      <c r="M253" s="300"/>
      <c r="N253" s="299" t="s">
        <v>1009</v>
      </c>
      <c r="O253" s="286" t="s">
        <v>519</v>
      </c>
      <c r="P253" s="282">
        <f>"https://www.ieee-itss.org/"</f>
        <v>0</v>
      </c>
      <c r="Q253" s="370" t="s">
        <v>1010</v>
      </c>
      <c r="R253" s="289" t="s">
        <v>55</v>
      </c>
      <c r="S253" s="85"/>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row>
    <row r="254" spans="1:64" ht="36" customHeight="1">
      <c r="A254" s="148" t="s">
        <v>426</v>
      </c>
      <c r="B254" s="148" t="s">
        <v>1011</v>
      </c>
      <c r="C254" s="148">
        <f>"https://www.sae.org/learn/content/c1868/"</f>
        <v>0</v>
      </c>
      <c r="D254" s="148" t="s">
        <v>552</v>
      </c>
      <c r="E254" s="239" t="s">
        <v>1005</v>
      </c>
      <c r="F254" s="148" t="s">
        <v>429</v>
      </c>
      <c r="G254" s="245" t="s">
        <v>430</v>
      </c>
      <c r="H254" s="235" t="s">
        <v>431</v>
      </c>
      <c r="I254" s="227"/>
      <c r="J254" s="219"/>
      <c r="K254" s="411" t="s">
        <v>1012</v>
      </c>
      <c r="L254" s="212" t="s">
        <v>432</v>
      </c>
      <c r="M254" s="123" t="s">
        <v>433</v>
      </c>
      <c r="N254" s="263"/>
      <c r="O254" s="261" t="s">
        <v>396</v>
      </c>
      <c r="P254" s="148">
        <f>"https://www.sae.org/learn/professional-development"</f>
        <v>0</v>
      </c>
      <c r="Q254" s="248" t="s">
        <v>54</v>
      </c>
      <c r="R254" s="213" t="s">
        <v>55</v>
      </c>
      <c r="S254" s="85"/>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row>
    <row r="255" spans="1:64" ht="26.25" customHeight="1">
      <c r="A255" s="148"/>
      <c r="B255" s="148"/>
      <c r="C255" s="148"/>
      <c r="D255" s="148"/>
      <c r="E255" s="239"/>
      <c r="F255" s="148"/>
      <c r="G255" s="245"/>
      <c r="H255" s="234" t="s">
        <v>434</v>
      </c>
      <c r="I255" s="227"/>
      <c r="J255" s="219"/>
      <c r="K255" s="411"/>
      <c r="L255" s="212"/>
      <c r="M255" s="123"/>
      <c r="N255" s="263"/>
      <c r="O255" s="261"/>
      <c r="P255" s="261"/>
      <c r="Q255" s="261"/>
      <c r="R255" s="213"/>
      <c r="S255" s="85"/>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row>
    <row r="256" spans="1:64" s="86" customFormat="1" ht="66" customHeight="1">
      <c r="A256" s="87" t="s">
        <v>1013</v>
      </c>
      <c r="B256" s="90" t="s">
        <v>1014</v>
      </c>
      <c r="C256" s="90">
        <f>"https://register.gotowebinar.com/register/8904891202363820813"</f>
        <v>0</v>
      </c>
      <c r="D256" s="90"/>
      <c r="E256" s="91" t="s">
        <v>1015</v>
      </c>
      <c r="F256" s="90" t="s">
        <v>1016</v>
      </c>
      <c r="G256" s="104" t="s">
        <v>1017</v>
      </c>
      <c r="H256" s="168" t="s">
        <v>1018</v>
      </c>
      <c r="I256" s="318"/>
      <c r="J256" s="133">
        <f>"1-877-PLUGVOLT (1-877-758-4865)"</f>
        <v>0</v>
      </c>
      <c r="K256" s="319">
        <f>"mailto:info@plugvolt.com"</f>
        <v>0</v>
      </c>
      <c r="L256" s="199"/>
      <c r="M256" s="183"/>
      <c r="N256" s="183"/>
      <c r="O256" s="359" t="s">
        <v>145</v>
      </c>
      <c r="P256" s="183">
        <f>"https://plugvolt.com/webinars/"</f>
        <v>0</v>
      </c>
      <c r="Q256" s="360" t="s">
        <v>54</v>
      </c>
      <c r="R256" s="254" t="s">
        <v>55</v>
      </c>
      <c r="S256" s="354"/>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5"/>
      <c r="AY256" s="355"/>
      <c r="AZ256" s="355"/>
      <c r="BA256" s="355"/>
      <c r="BB256" s="355"/>
      <c r="BC256" s="355"/>
      <c r="BD256" s="355"/>
      <c r="BE256" s="355"/>
      <c r="BF256" s="355"/>
      <c r="BG256" s="355"/>
      <c r="BH256" s="355"/>
      <c r="BI256" s="355"/>
      <c r="BJ256" s="355"/>
      <c r="BK256" s="355"/>
      <c r="BL256" s="355"/>
    </row>
    <row r="257" spans="1:19" s="86" customFormat="1" ht="27.75" customHeight="1">
      <c r="A257" s="87" t="s">
        <v>1019</v>
      </c>
      <c r="B257" s="88" t="s">
        <v>1020</v>
      </c>
      <c r="C257" s="89">
        <f>"https://www.act-news.com/webinar/keep-the-power-on-developing-an-energy-resiliency-plan-for-your-ev-fleet/"</f>
        <v>0</v>
      </c>
      <c r="D257" s="90"/>
      <c r="E257" s="91" t="s">
        <v>1021</v>
      </c>
      <c r="F257" s="90" t="s">
        <v>1022</v>
      </c>
      <c r="G257" s="104">
        <f>"&amp;hellip; gain insight into [t]he types of onsite power generation and energy storage options fleets can consider to reduce costs and prepare for an emergency."</f>
        <v>0</v>
      </c>
      <c r="H257" s="365" t="s">
        <v>1023</v>
      </c>
      <c r="I257" s="106"/>
      <c r="J257" s="198"/>
      <c r="K257" s="108"/>
      <c r="L257" s="159">
        <f>"registration:  http://subscribe.act-news.com/PGEWebinar.June2020.Part2Registration"</f>
        <v>0</v>
      </c>
      <c r="M257" s="97"/>
      <c r="N257" s="108"/>
      <c r="O257" s="203" t="s">
        <v>420</v>
      </c>
      <c r="P257" s="204" t="s">
        <v>991</v>
      </c>
      <c r="Q257" s="329" t="s">
        <v>54</v>
      </c>
      <c r="R257" s="128" t="s">
        <v>55</v>
      </c>
      <c r="S257" s="85"/>
    </row>
    <row r="258" spans="1:19" s="86" customFormat="1" ht="27.75" customHeight="1">
      <c r="A258" s="87"/>
      <c r="B258" s="88"/>
      <c r="C258" s="89"/>
      <c r="D258" s="90"/>
      <c r="E258" s="91"/>
      <c r="F258" s="90"/>
      <c r="G258" s="104"/>
      <c r="H258" s="365" t="s">
        <v>1024</v>
      </c>
      <c r="I258" s="106"/>
      <c r="J258" s="198"/>
      <c r="K258" s="108"/>
      <c r="L258" s="159"/>
      <c r="M258" s="97"/>
      <c r="N258" s="108"/>
      <c r="O258" s="203"/>
      <c r="P258" s="204"/>
      <c r="Q258" s="329"/>
      <c r="R258" s="128"/>
      <c r="S258" s="85"/>
    </row>
    <row r="259" spans="1:19" s="86" customFormat="1" ht="43.5" customHeight="1">
      <c r="A259" s="87"/>
      <c r="B259" s="88"/>
      <c r="C259" s="89"/>
      <c r="D259" s="90"/>
      <c r="E259" s="91"/>
      <c r="F259" s="90"/>
      <c r="G259" s="104"/>
      <c r="H259" s="365" t="s">
        <v>1025</v>
      </c>
      <c r="I259" s="106"/>
      <c r="J259" s="198"/>
      <c r="K259" s="108"/>
      <c r="L259" s="159"/>
      <c r="M259" s="97"/>
      <c r="N259" s="108"/>
      <c r="O259" s="203"/>
      <c r="P259" s="204"/>
      <c r="Q259" s="329"/>
      <c r="R259" s="128"/>
      <c r="S259" s="85"/>
    </row>
    <row r="260" spans="1:64" ht="21" customHeight="1">
      <c r="A260" s="112" t="s">
        <v>1026</v>
      </c>
      <c r="B260" s="113" t="s">
        <v>1027</v>
      </c>
      <c r="C260" s="267">
        <f>"http://forum-ists2020.org/"</f>
        <v>0</v>
      </c>
      <c r="D260" s="115" t="s">
        <v>1004</v>
      </c>
      <c r="E260" s="116" t="s">
        <v>1028</v>
      </c>
      <c r="F260" s="115" t="s">
        <v>1029</v>
      </c>
      <c r="G260" s="117">
        <f>"Electrification | Sharification | Connected&amp;nbsp;Automation"</f>
        <v>0</v>
      </c>
      <c r="H260" s="308"/>
      <c r="I260" s="119"/>
      <c r="J260" s="120"/>
      <c r="K260" s="241">
        <f>"http://forum-ists2020.org/contact/"</f>
        <v>0</v>
      </c>
      <c r="L260" s="212">
        <f>"http://forum-ists2020.org/call-for-papers/"</f>
        <v>0</v>
      </c>
      <c r="M260" s="123">
        <f>"http://forum-ists2020.org/1772-2/"</f>
        <v>0</v>
      </c>
      <c r="N260" s="235" t="s">
        <v>1030</v>
      </c>
      <c r="O260" s="274" t="s">
        <v>519</v>
      </c>
      <c r="P260" s="115" t="s">
        <v>520</v>
      </c>
      <c r="Q260" s="223" t="s">
        <v>54</v>
      </c>
      <c r="R260" s="224" t="s">
        <v>55</v>
      </c>
      <c r="S260" s="85"/>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row>
    <row r="261" spans="1:64" ht="42.75" customHeight="1">
      <c r="A261" s="112"/>
      <c r="B261" s="113"/>
      <c r="C261" s="267"/>
      <c r="D261" s="115"/>
      <c r="E261" s="116"/>
      <c r="F261" s="115"/>
      <c r="G261" s="117"/>
      <c r="H261" s="308"/>
      <c r="I261" s="119"/>
      <c r="J261" s="120"/>
      <c r="K261" s="241"/>
      <c r="L261" s="212">
        <f>"http://forum-ists2020.org/wp-content/uploads/2019/12/Forum-ISTS-2020-Call-for-Contributions-14.pdf"</f>
        <v>0</v>
      </c>
      <c r="M261" s="123"/>
      <c r="N261" s="235"/>
      <c r="O261" s="274"/>
      <c r="P261" s="115"/>
      <c r="Q261" s="223"/>
      <c r="R261" s="224"/>
      <c r="S261" s="85"/>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row>
    <row r="262" spans="1:64" ht="63" customHeight="1">
      <c r="A262" s="112"/>
      <c r="B262" s="113"/>
      <c r="C262" s="267"/>
      <c r="D262" s="115"/>
      <c r="E262" s="116" t="s">
        <v>1031</v>
      </c>
      <c r="F262" s="115"/>
      <c r="G262" s="117"/>
      <c r="H262" s="308"/>
      <c r="I262" s="119"/>
      <c r="J262" s="120"/>
      <c r="K262" s="241"/>
      <c r="L262" s="212">
        <f>"Workshops &amp; Tutorials:  http://forum-ists2020.org/call-for-workshops-and-tutorials/"</f>
        <v>0</v>
      </c>
      <c r="M262" s="123">
        <f>"http://forum-ists2020.org/wp-content/uploads/2019/09/Call-for-workshops-Forum-ISTS2020-10.pdf"</f>
        <v>0</v>
      </c>
      <c r="N262" s="235" t="s">
        <v>1030</v>
      </c>
      <c r="O262" s="274"/>
      <c r="P262" s="115"/>
      <c r="Q262" s="223"/>
      <c r="R262" s="224"/>
      <c r="S262" s="85"/>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row>
    <row r="263" spans="1:64" ht="65.25" customHeight="1">
      <c r="A263" s="112"/>
      <c r="B263" s="113"/>
      <c r="C263" s="267"/>
      <c r="D263" s="115"/>
      <c r="E263" s="116"/>
      <c r="F263" s="115"/>
      <c r="G263" s="117"/>
      <c r="H263" s="308"/>
      <c r="I263" s="119"/>
      <c r="J263" s="120"/>
      <c r="K263" s="241"/>
      <c r="L263" s="212">
        <f>"Special Sessions:  http://forum-ists2020.org/call-for-special-sessions/"</f>
        <v>0</v>
      </c>
      <c r="M263" s="123">
        <f>"Dr. Meng Wang  mailto:m.wang@tudelft.nl"</f>
        <v>0</v>
      </c>
      <c r="N263" s="155" t="s">
        <v>1032</v>
      </c>
      <c r="O263" s="274"/>
      <c r="P263" s="115"/>
      <c r="Q263" s="223"/>
      <c r="R263" s="224"/>
      <c r="S263" s="85"/>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row>
    <row r="264" spans="1:64" ht="76.5" customHeight="1">
      <c r="A264" s="112" t="s">
        <v>1033</v>
      </c>
      <c r="B264" s="148" t="s">
        <v>357</v>
      </c>
      <c r="C264" s="244">
        <f>"https://techconnectworld.com/World2020/"</f>
        <v>0</v>
      </c>
      <c r="D264" s="115" t="s">
        <v>1034</v>
      </c>
      <c r="E264" s="116" t="s">
        <v>1035</v>
      </c>
      <c r="F264" s="115" t="s">
        <v>1036</v>
      </c>
      <c r="G264" s="240" t="s">
        <v>1037</v>
      </c>
      <c r="H264" s="308" t="s">
        <v>1038</v>
      </c>
      <c r="I264" s="348"/>
      <c r="J264" s="120"/>
      <c r="K264" s="349">
        <f>"https://techconnectworld.com/World2020/contact.html"</f>
        <v>0</v>
      </c>
      <c r="L264" s="412">
        <f>"https://techconnectworld.com/World2020/participate/authors/"</f>
        <v>0</v>
      </c>
      <c r="M264" s="413"/>
      <c r="N264" s="414" t="s">
        <v>1039</v>
      </c>
      <c r="O264" s="222" t="s">
        <v>357</v>
      </c>
      <c r="P264" s="244">
        <f>"https://techconnect.org/events/"</f>
        <v>0</v>
      </c>
      <c r="Q264" s="223" t="s">
        <v>54</v>
      </c>
      <c r="R264" s="224" t="s">
        <v>55</v>
      </c>
      <c r="S264" s="85"/>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row>
    <row r="265" spans="1:64" ht="51" customHeight="1">
      <c r="A265" s="112"/>
      <c r="B265" s="148"/>
      <c r="C265" s="148"/>
      <c r="D265" s="115"/>
      <c r="E265" s="116"/>
      <c r="F265" s="115"/>
      <c r="G265" s="240"/>
      <c r="H265" s="308"/>
      <c r="I265" s="348"/>
      <c r="J265" s="120"/>
      <c r="K265" s="349"/>
      <c r="L265" s="415">
        <f>"Call for Innovations:  https://techconnectworld.com/World2020/participate/innovation/"</f>
        <v>0</v>
      </c>
      <c r="M265" s="369">
        <f>"https://techconnectworld.com/World2020/participate/innovation/form.html"</f>
        <v>0</v>
      </c>
      <c r="N265" s="391">
        <f>"Rolling Deadline"</f>
        <v>0</v>
      </c>
      <c r="O265" s="222"/>
      <c r="P265" s="244"/>
      <c r="Q265" s="223"/>
      <c r="R265" s="224"/>
      <c r="S265" s="85"/>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row>
    <row r="266" spans="1:64" ht="72.75" customHeight="1">
      <c r="A266" s="112"/>
      <c r="B266" s="148"/>
      <c r="C266" s="148"/>
      <c r="D266" s="115"/>
      <c r="E266" s="116"/>
      <c r="F266" s="115"/>
      <c r="G266" s="416" t="s">
        <v>1040</v>
      </c>
      <c r="H266" s="308"/>
      <c r="I266" s="348"/>
      <c r="J266" s="120"/>
      <c r="K266" s="349"/>
      <c r="L266" s="415">
        <f>"SBIR Fast Track Innovation Showcase:  https://techconnectworld.com/World2020/participate/innovation/sbir-fast-track.html      (6/29-30 only)"</f>
        <v>0</v>
      </c>
      <c r="M266" s="369"/>
      <c r="N266" s="391" t="s">
        <v>1041</v>
      </c>
      <c r="O266" s="222"/>
      <c r="P266" s="244"/>
      <c r="Q266" s="223"/>
      <c r="R266" s="224"/>
      <c r="S266" s="85"/>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row>
    <row r="267" spans="1:64" ht="50.25" customHeight="1">
      <c r="A267" s="112"/>
      <c r="B267" s="148"/>
      <c r="C267" s="148"/>
      <c r="D267" s="115"/>
      <c r="E267" s="116"/>
      <c r="F267" s="115"/>
      <c r="G267" s="416"/>
      <c r="H267" s="308"/>
      <c r="I267" s="348"/>
      <c r="J267" s="120"/>
      <c r="K267" s="349"/>
      <c r="L267" s="415">
        <f>"Call for Posters:  https://techconnectworld.com/World2020/participate/authors/"</f>
        <v>0</v>
      </c>
      <c r="M267" s="342">
        <f>"Review Committee:  https://techconnectworld.com/World2020/about/committee.html"</f>
        <v>0</v>
      </c>
      <c r="N267" s="391" t="s">
        <v>1042</v>
      </c>
      <c r="O267" s="222"/>
      <c r="P267" s="244"/>
      <c r="Q267" s="223"/>
      <c r="R267" s="224"/>
      <c r="S267" s="85"/>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row>
    <row r="268" spans="1:64" ht="53.25" customHeight="1">
      <c r="A268" s="112" t="s">
        <v>1043</v>
      </c>
      <c r="B268" s="148"/>
      <c r="C268" s="148">
        <f>"https://techconnectworld.com/SBIRSpring2020/"</f>
        <v>0</v>
      </c>
      <c r="D268" s="115"/>
      <c r="E268" s="116"/>
      <c r="F268" s="115"/>
      <c r="G268" s="416"/>
      <c r="H268" s="417"/>
      <c r="I268" s="418"/>
      <c r="J268" s="419"/>
      <c r="K268" s="420"/>
      <c r="L268" s="421">
        <f>"Innovation Showcase:  https://techconnectworld.com/World2020/participate/innovation/"</f>
        <v>0</v>
      </c>
      <c r="M268" s="422">
        <f>"https://techconnectworld.com/World2020/participate/innovation/form.html"</f>
        <v>0</v>
      </c>
      <c r="N268" s="423" t="s">
        <v>1044</v>
      </c>
      <c r="O268" s="222"/>
      <c r="P268" s="244"/>
      <c r="Q268" s="223"/>
      <c r="R268" s="224"/>
      <c r="S268" s="85"/>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row>
    <row r="269" spans="1:64" ht="44.25" customHeight="1">
      <c r="A269" s="112" t="s">
        <v>1045</v>
      </c>
      <c r="B269" s="115"/>
      <c r="C269" s="148">
        <f>"https://events.techconnect.org/DTCSpring/"</f>
        <v>0</v>
      </c>
      <c r="D269" s="115"/>
      <c r="E269" s="116"/>
      <c r="F269" s="115"/>
      <c r="G269" s="240" t="s">
        <v>1046</v>
      </c>
      <c r="H269" s="308"/>
      <c r="I269" s="348"/>
      <c r="J269" s="120"/>
      <c r="K269" s="424"/>
      <c r="L269" s="425">
        <f>"Abstracts for Presentations:  https://www.techconnectworld.com/World2019/participate/authors/"</f>
        <v>0</v>
      </c>
      <c r="M269" s="426"/>
      <c r="N269" s="426" t="s">
        <v>1047</v>
      </c>
      <c r="O269" s="222"/>
      <c r="P269" s="244"/>
      <c r="Q269" s="223"/>
      <c r="R269" s="224"/>
      <c r="S269" s="85"/>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row>
    <row r="270" spans="1:64" ht="44.25" customHeight="1">
      <c r="A270" s="112" t="s">
        <v>1048</v>
      </c>
      <c r="B270" s="115"/>
      <c r="C270" s="148">
        <f>"https://techconnectworld.com/World2019/expo/"</f>
        <v>0</v>
      </c>
      <c r="D270" s="115"/>
      <c r="E270" s="116" t="s">
        <v>1049</v>
      </c>
      <c r="F270" s="115"/>
      <c r="G270" s="240" t="s">
        <v>1050</v>
      </c>
      <c r="H270" s="308"/>
      <c r="I270" s="348"/>
      <c r="J270" s="120"/>
      <c r="K270" s="424"/>
      <c r="L270" s="231"/>
      <c r="M270" s="120"/>
      <c r="N270" s="120"/>
      <c r="O270" s="222"/>
      <c r="P270" s="244"/>
      <c r="Q270" s="223"/>
      <c r="R270" s="224"/>
      <c r="S270" s="85"/>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row>
    <row r="271" spans="1:64" ht="63" customHeight="1">
      <c r="A271" s="112" t="s">
        <v>1051</v>
      </c>
      <c r="B271" s="148"/>
      <c r="C271" s="148">
        <f>"https://techconnectworld.com/World2019/SGLC/StudentGroupLeadership.html"</f>
        <v>0</v>
      </c>
      <c r="D271" s="115"/>
      <c r="E271" s="116"/>
      <c r="F271" s="115"/>
      <c r="G271" s="240" t="s">
        <v>1052</v>
      </c>
      <c r="H271" s="308"/>
      <c r="I271" s="348"/>
      <c r="J271" s="120"/>
      <c r="K271" s="424"/>
      <c r="L271" s="425">
        <f>"https://techconnectworld.com/World2019/SGLC/form.html"</f>
        <v>0</v>
      </c>
      <c r="M271" s="426"/>
      <c r="N271" s="426" t="s">
        <v>1053</v>
      </c>
      <c r="O271" s="222"/>
      <c r="P271" s="148"/>
      <c r="Q271" s="223" t="s">
        <v>349</v>
      </c>
      <c r="R271" s="347" t="s">
        <v>86</v>
      </c>
      <c r="S271" s="85"/>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row>
    <row r="272" spans="1:64" s="86" customFormat="1" ht="63.75" customHeight="1">
      <c r="A272" s="87" t="s">
        <v>1054</v>
      </c>
      <c r="B272" s="88" t="s">
        <v>1055</v>
      </c>
      <c r="C272" s="89">
        <f>"https://www.sae.org/learn/content/c1934/"</f>
        <v>0</v>
      </c>
      <c r="D272" s="90" t="s">
        <v>657</v>
      </c>
      <c r="E272" s="91" t="s">
        <v>1056</v>
      </c>
      <c r="F272" s="90" t="s">
        <v>499</v>
      </c>
      <c r="G272" s="306" t="s">
        <v>1057</v>
      </c>
      <c r="H272" s="132">
        <f>"Instructor: Rajeev Thakur"</f>
        <v>0</v>
      </c>
      <c r="I272" s="135"/>
      <c r="J272" s="202"/>
      <c r="K272" s="108"/>
      <c r="L272" s="210" t="s">
        <v>973</v>
      </c>
      <c r="M272" s="173" t="s">
        <v>459</v>
      </c>
      <c r="N272" s="400"/>
      <c r="O272" s="199" t="s">
        <v>396</v>
      </c>
      <c r="P272" s="90">
        <f>"https://www.sae.org/learn/professional-development"</f>
        <v>0</v>
      </c>
      <c r="Q272" s="100" t="s">
        <v>54</v>
      </c>
      <c r="R272" s="128" t="s">
        <v>55</v>
      </c>
      <c r="S272" s="85"/>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row>
    <row r="273" spans="1:64" s="86" customFormat="1" ht="79.5" customHeight="1">
      <c r="A273" s="87" t="s">
        <v>1058</v>
      </c>
      <c r="B273" s="88" t="s">
        <v>1059</v>
      </c>
      <c r="C273" s="89">
        <f>"https://register.gotowebinar.com/register/8362265723009978893"</f>
        <v>0</v>
      </c>
      <c r="D273" s="90"/>
      <c r="E273" s="91" t="s">
        <v>1060</v>
      </c>
      <c r="F273" s="90" t="s">
        <v>804</v>
      </c>
      <c r="G273" s="306" t="s">
        <v>1061</v>
      </c>
      <c r="H273" s="365" t="s">
        <v>806</v>
      </c>
      <c r="I273" s="366"/>
      <c r="J273" s="95"/>
      <c r="K273" s="95"/>
      <c r="L273" s="159"/>
      <c r="M273" s="97"/>
      <c r="N273" s="98"/>
      <c r="O273" s="99" t="s">
        <v>103</v>
      </c>
      <c r="P273" s="90" t="s">
        <v>104</v>
      </c>
      <c r="Q273" s="100" t="s">
        <v>54</v>
      </c>
      <c r="R273" s="128" t="s">
        <v>55</v>
      </c>
      <c r="S273" s="85"/>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row>
    <row r="274" spans="1:64" ht="39.75" customHeight="1">
      <c r="A274" s="87" t="s">
        <v>1062</v>
      </c>
      <c r="B274" s="88" t="s">
        <v>1063</v>
      </c>
      <c r="C274" s="89">
        <f>"http://www.altcarexposac.com/"</f>
        <v>0</v>
      </c>
      <c r="D274" s="90" t="s">
        <v>1064</v>
      </c>
      <c r="E274" s="91" t="s">
        <v>1065</v>
      </c>
      <c r="F274" s="90" t="s">
        <v>1066</v>
      </c>
      <c r="G274" s="306" t="s">
        <v>1067</v>
      </c>
      <c r="H274" s="365"/>
      <c r="I274" s="366" t="s">
        <v>711</v>
      </c>
      <c r="J274" s="95" t="s">
        <v>712</v>
      </c>
      <c r="K274" s="95" t="s">
        <v>1068</v>
      </c>
      <c r="L274" s="159">
        <f>"Registration:  http://www.altcarexposac.com/expo-ridedrive"</f>
        <v>0</v>
      </c>
      <c r="M274" s="97"/>
      <c r="N274" s="98"/>
      <c r="O274" s="427" t="s">
        <v>714</v>
      </c>
      <c r="P274" s="428" t="s">
        <v>1069</v>
      </c>
      <c r="Q274" s="100" t="s">
        <v>85</v>
      </c>
      <c r="R274" s="101" t="s">
        <v>86</v>
      </c>
      <c r="S274" s="85"/>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row>
    <row r="275" spans="1:64" ht="39.75" customHeight="1">
      <c r="A275" s="87"/>
      <c r="B275" s="88"/>
      <c r="C275" s="89"/>
      <c r="D275" s="90"/>
      <c r="E275" s="90"/>
      <c r="F275" s="90"/>
      <c r="G275" s="306"/>
      <c r="H275" s="365"/>
      <c r="I275" s="429" t="s">
        <v>715</v>
      </c>
      <c r="J275" s="430"/>
      <c r="K275" s="430" t="s">
        <v>1070</v>
      </c>
      <c r="L275" s="159"/>
      <c r="M275" s="97"/>
      <c r="N275" s="98"/>
      <c r="O275" s="427"/>
      <c r="P275" s="428"/>
      <c r="Q275" s="100"/>
      <c r="R275" s="101"/>
      <c r="S275" s="85"/>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row>
    <row r="276" spans="1:19" s="86" customFormat="1" ht="54.75" customHeight="1">
      <c r="A276" s="87" t="s">
        <v>1071</v>
      </c>
      <c r="B276" s="88" t="s">
        <v>1072</v>
      </c>
      <c r="C276" s="89">
        <f>"https://teslasciencecenter.org/events/tesla-steam-camp/"</f>
        <v>0</v>
      </c>
      <c r="D276" s="90" t="s">
        <v>323</v>
      </c>
      <c r="E276" s="431">
        <f>"2020/07/06 – 07/10"</f>
        <v>0</v>
      </c>
      <c r="F276" s="90" t="s">
        <v>1073</v>
      </c>
      <c r="G276" s="104">
        <f>"&amp;hellip; virtual education program that offers a mix of online and offline experiences."</f>
        <v>0</v>
      </c>
      <c r="H276" s="91" t="s">
        <v>1074</v>
      </c>
      <c r="I276" s="96" t="s">
        <v>1075</v>
      </c>
      <c r="J276" s="96"/>
      <c r="K276" s="95" t="s">
        <v>1076</v>
      </c>
      <c r="L276" s="159">
        <f>"Members' Regis:  https://teslasciencecenter.z2systems.com/np/clients/teslasciencecenter/eventRegistration.jsp?event=566&amp;"</f>
        <v>0</v>
      </c>
      <c r="M276" s="96">
        <f>"Members' Regis:  https://teslasciencecenter.z2systems.com/np/clients/teslasciencecenter/eventRegistration.jsp?event=561&amp;"</f>
        <v>0</v>
      </c>
      <c r="N276" s="96"/>
      <c r="O276" s="99" t="s">
        <v>66</v>
      </c>
      <c r="P276" s="130">
        <f>"https://teslasciencecenter.org/events/"</f>
        <v>0</v>
      </c>
      <c r="Q276" s="100" t="s">
        <v>67</v>
      </c>
      <c r="R276" s="101" t="s">
        <v>68</v>
      </c>
      <c r="S276" s="141"/>
    </row>
    <row r="277" spans="1:19" s="86" customFormat="1" ht="54.75" customHeight="1">
      <c r="A277" s="87"/>
      <c r="B277" s="88"/>
      <c r="C277" s="89"/>
      <c r="D277" s="90"/>
      <c r="E277" s="432">
        <f>"2020/07/13 – 07/17"</f>
        <v>0</v>
      </c>
      <c r="F277" s="90"/>
      <c r="G277" s="104"/>
      <c r="H277" s="91"/>
      <c r="I277" s="96" t="s">
        <v>1077</v>
      </c>
      <c r="J277" s="96"/>
      <c r="K277" s="433" t="s">
        <v>1076</v>
      </c>
      <c r="L277" s="159">
        <f>"Members' Regis:  https://teslasciencecenter.z2systems.com/np/clients/teslasciencecenter/eventRegistration.jsp?event=576&amp;"</f>
        <v>0</v>
      </c>
      <c r="M277" s="96">
        <f>"Regular Regis:  https://teslasciencecenter.z2systems.com/np/clients/teslasciencecenter/eventRegistration.jsp?event=571&amp;"</f>
        <v>0</v>
      </c>
      <c r="N277" s="96"/>
      <c r="O277" s="99"/>
      <c r="P277" s="130"/>
      <c r="Q277" s="100"/>
      <c r="R277" s="101"/>
      <c r="S277" s="141"/>
    </row>
    <row r="278" spans="1:19" s="86" customFormat="1" ht="54.75" customHeight="1">
      <c r="A278" s="87"/>
      <c r="B278" s="88"/>
      <c r="C278" s="89"/>
      <c r="D278" s="90"/>
      <c r="E278" s="432">
        <f>"2020/07/20 – 07/31"</f>
        <v>0</v>
      </c>
      <c r="F278" s="90"/>
      <c r="G278" s="104"/>
      <c r="H278" s="91" t="s">
        <v>1078</v>
      </c>
      <c r="I278" s="96" t="s">
        <v>1079</v>
      </c>
      <c r="J278" s="96"/>
      <c r="K278" s="95" t="s">
        <v>1080</v>
      </c>
      <c r="L278" s="159">
        <f>"Members' Regis:  https://teslasciencecenter.z2systems.com/np/clients/teslasciencecenter/eventRegistration.jsp?event=596&amp;"</f>
        <v>0</v>
      </c>
      <c r="M278" s="96">
        <f>"Regular Regis:  https://teslasciencecenter.z2systems.com/np/clients/teslasciencecenter/eventRegistration.jsp?event=591&amp;"</f>
        <v>0</v>
      </c>
      <c r="N278" s="96"/>
      <c r="O278" s="99"/>
      <c r="P278" s="130"/>
      <c r="Q278" s="100"/>
      <c r="R278" s="101"/>
      <c r="S278" s="85"/>
    </row>
    <row r="279" spans="1:64" s="86" customFormat="1" ht="54.75" customHeight="1">
      <c r="A279" s="87"/>
      <c r="B279" s="88"/>
      <c r="C279" s="89"/>
      <c r="D279" s="90"/>
      <c r="E279" s="188">
        <f>"2020/08/03 – 08/07"</f>
        <v>0</v>
      </c>
      <c r="F279" s="90"/>
      <c r="G279" s="104"/>
      <c r="H279" s="91" t="s">
        <v>1074</v>
      </c>
      <c r="I279" s="96" t="s">
        <v>1081</v>
      </c>
      <c r="J279" s="96"/>
      <c r="K279" s="95" t="s">
        <v>1082</v>
      </c>
      <c r="L279" s="159">
        <f>"Members' Regis:  https://teslasciencecenter.z2systems.com/np/clients/teslasciencecenter/eventRegistration.jsp?event=606&amp;"</f>
        <v>0</v>
      </c>
      <c r="M279" s="96">
        <f>"Regular Regis:  https://teslasciencecenter.z2systems.com/np/clients/teslasciencecenter/eventRegistration.jsp?event=601&amp;"</f>
        <v>0</v>
      </c>
      <c r="N279" s="96"/>
      <c r="O279" s="99"/>
      <c r="P279" s="130"/>
      <c r="Q279" s="100"/>
      <c r="R279" s="101"/>
      <c r="S279" s="85"/>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row>
    <row r="280" spans="1:64" s="86" customFormat="1" ht="54.75" customHeight="1">
      <c r="A280" s="87"/>
      <c r="B280" s="88"/>
      <c r="C280" s="89"/>
      <c r="D280" s="90"/>
      <c r="E280" s="188">
        <f>"2020/08/10 – 08/14"</f>
        <v>0</v>
      </c>
      <c r="F280" s="90"/>
      <c r="G280" s="104"/>
      <c r="H280" s="91"/>
      <c r="I280" s="96" t="s">
        <v>1083</v>
      </c>
      <c r="J280" s="96"/>
      <c r="K280" s="95" t="s">
        <v>1084</v>
      </c>
      <c r="L280" s="159">
        <f>"Members' Regis:  https://teslasciencecenter.z2systems.com/np/clients/teslasciencecenter/eventRegistration.jsp?event=586&amp;"</f>
        <v>0</v>
      </c>
      <c r="M280" s="96">
        <f>"Regular Regis:  https://teslasciencecenter.z2systems.com/np/clients/teslasciencecenter/eventRegistration.jsp?event=581&amp;"</f>
        <v>0</v>
      </c>
      <c r="N280" s="96"/>
      <c r="O280" s="99"/>
      <c r="P280" s="130"/>
      <c r="Q280" s="100"/>
      <c r="R280" s="101"/>
      <c r="S280" s="85"/>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row>
    <row r="281" spans="1:64" ht="63" customHeight="1">
      <c r="A281" s="87" t="s">
        <v>1085</v>
      </c>
      <c r="B281" s="183" t="s">
        <v>1086</v>
      </c>
      <c r="C281" s="183">
        <f>"https://conferences.ata.it/"</f>
        <v>0</v>
      </c>
      <c r="D281" s="90" t="s">
        <v>1087</v>
      </c>
      <c r="E281" s="91" t="s">
        <v>1088</v>
      </c>
      <c r="F281" s="90" t="s">
        <v>1089</v>
      </c>
      <c r="G281" s="306" t="s">
        <v>1090</v>
      </c>
      <c r="H281" s="132">
        <f>"Flyer:  https://conferences.ata.it/wp-content/uploads/2019/11/FLYER_CO2_2019_OTT_SENZA_CROCINI.pdf"</f>
        <v>0</v>
      </c>
      <c r="I281" s="318"/>
      <c r="J281" s="107"/>
      <c r="K281" s="434"/>
      <c r="L281" s="341">
        <f>"https://conferences.ata.it/call-for-papers/"</f>
        <v>0</v>
      </c>
      <c r="M281" s="282"/>
      <c r="N281" s="282" t="s">
        <v>1091</v>
      </c>
      <c r="O281" s="359" t="s">
        <v>83</v>
      </c>
      <c r="P281" s="183" t="s">
        <v>84</v>
      </c>
      <c r="Q281" s="360" t="s">
        <v>54</v>
      </c>
      <c r="R281" s="254" t="s">
        <v>55</v>
      </c>
      <c r="S281" s="85"/>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row>
    <row r="282" spans="1:64" s="86" customFormat="1" ht="90" customHeight="1">
      <c r="A282" s="87" t="s">
        <v>1092</v>
      </c>
      <c r="B282" s="88" t="s">
        <v>1093</v>
      </c>
      <c r="C282" s="103">
        <f>"https://attendee.gotowebinar.com/register/7962841733909096193"</f>
        <v>0</v>
      </c>
      <c r="D282" s="90"/>
      <c r="E282" s="91" t="s">
        <v>1094</v>
      </c>
      <c r="F282" s="90" t="s">
        <v>1095</v>
      </c>
      <c r="G282" s="104" t="s">
        <v>1096</v>
      </c>
      <c r="H282" s="105" t="s">
        <v>1097</v>
      </c>
      <c r="I282" s="106" t="s">
        <v>101</v>
      </c>
      <c r="J282" s="107"/>
      <c r="K282" s="108" t="s">
        <v>102</v>
      </c>
      <c r="L282" s="109"/>
      <c r="M282" s="110"/>
      <c r="N282" s="111"/>
      <c r="O282" s="99" t="s">
        <v>103</v>
      </c>
      <c r="P282" s="90" t="s">
        <v>104</v>
      </c>
      <c r="Q282" s="100" t="s">
        <v>54</v>
      </c>
      <c r="R282" s="128" t="s">
        <v>55</v>
      </c>
      <c r="S282" s="85"/>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row>
    <row r="283" spans="1:64" s="86" customFormat="1" ht="78" customHeight="1">
      <c r="A283" s="87" t="s">
        <v>1098</v>
      </c>
      <c r="B283" s="88" t="s">
        <v>1099</v>
      </c>
      <c r="C283" s="89">
        <f>"https://www.sae.org/learn/content/c1911/"</f>
        <v>0</v>
      </c>
      <c r="D283" s="90" t="s">
        <v>389</v>
      </c>
      <c r="E283" s="91" t="s">
        <v>1100</v>
      </c>
      <c r="F283" s="90" t="s">
        <v>1101</v>
      </c>
      <c r="G283" s="104">
        <f>"Cybersecurity has become one of the most critical issues in developing autonomous and connected vehicles &amp;hellip;"</f>
        <v>0</v>
      </c>
      <c r="H283" s="132" t="s">
        <v>1102</v>
      </c>
      <c r="I283" s="106"/>
      <c r="J283" s="133"/>
      <c r="K283" s="108"/>
      <c r="L283" s="145" t="s">
        <v>1103</v>
      </c>
      <c r="M283" s="173" t="s">
        <v>459</v>
      </c>
      <c r="N283" s="180"/>
      <c r="O283" s="99" t="s">
        <v>396</v>
      </c>
      <c r="P283" s="90" t="s">
        <v>397</v>
      </c>
      <c r="Q283" s="100" t="s">
        <v>54</v>
      </c>
      <c r="R283" s="128" t="s">
        <v>55</v>
      </c>
      <c r="S283" s="85"/>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row>
    <row r="284" spans="1:64" s="86" customFormat="1" ht="41.25" customHeight="1">
      <c r="A284" s="87" t="s">
        <v>1104</v>
      </c>
      <c r="B284" s="88" t="s">
        <v>1105</v>
      </c>
      <c r="C284" s="89">
        <f>"https://teslasciencecenter.org/events/tesla-birthday-bash-2020/"</f>
        <v>0</v>
      </c>
      <c r="D284" s="90" t="s">
        <v>1106</v>
      </c>
      <c r="E284" s="91" t="s">
        <v>1107</v>
      </c>
      <c r="F284" s="90" t="s">
        <v>1108</v>
      </c>
      <c r="G284" s="104" t="s">
        <v>1109</v>
      </c>
      <c r="H284" s="132"/>
      <c r="I284" s="106"/>
      <c r="J284" s="107"/>
      <c r="K284" s="134"/>
      <c r="L284" s="109" t="s">
        <v>1110</v>
      </c>
      <c r="M284" s="435">
        <f>"https://teslasciencecenter.z2systems.com/np/clients/teslasciencecenter/eventRegistration.jsp?event=631&amp;"</f>
        <v>0</v>
      </c>
      <c r="N284" s="435"/>
      <c r="O284" s="99" t="s">
        <v>66</v>
      </c>
      <c r="P284" s="130">
        <f>"https://teslasciencecenter.org/events/"</f>
        <v>0</v>
      </c>
      <c r="Q284" s="100" t="s">
        <v>67</v>
      </c>
      <c r="R284" s="101" t="s">
        <v>68</v>
      </c>
      <c r="S284" s="85"/>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row>
    <row r="285" spans="1:64" s="86" customFormat="1" ht="42" customHeight="1">
      <c r="A285" s="87"/>
      <c r="B285" s="88"/>
      <c r="C285" s="89"/>
      <c r="D285" s="90"/>
      <c r="E285" s="91" t="s">
        <v>1111</v>
      </c>
      <c r="F285" s="90"/>
      <c r="G285" s="104" t="s">
        <v>1112</v>
      </c>
      <c r="H285" s="132"/>
      <c r="I285" s="106"/>
      <c r="J285" s="107"/>
      <c r="K285" s="134"/>
      <c r="L285" s="109" t="s">
        <v>1113</v>
      </c>
      <c r="M285" s="435">
        <f>"https://teslasciencecenter.z2systems.com/np/clients/teslasciencecenter/eventRegistration.jsp?event=636&amp;"</f>
        <v>0</v>
      </c>
      <c r="N285" s="435"/>
      <c r="O285" s="99"/>
      <c r="P285" s="130"/>
      <c r="Q285" s="100"/>
      <c r="R285" s="101"/>
      <c r="S285" s="85"/>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row>
    <row r="286" spans="1:64" s="86" customFormat="1" ht="53.25" customHeight="1">
      <c r="A286" s="87"/>
      <c r="B286" s="88"/>
      <c r="C286" s="89"/>
      <c r="D286" s="90"/>
      <c r="E286" s="91" t="s">
        <v>1114</v>
      </c>
      <c r="F286" s="90"/>
      <c r="G286" s="104" t="s">
        <v>1115</v>
      </c>
      <c r="H286" s="132"/>
      <c r="I286" s="106"/>
      <c r="J286" s="107"/>
      <c r="K286" s="134"/>
      <c r="L286" s="109"/>
      <c r="M286" s="435"/>
      <c r="N286" s="435"/>
      <c r="O286" s="99"/>
      <c r="P286" s="130"/>
      <c r="Q286" s="100"/>
      <c r="R286" s="101"/>
      <c r="S286" s="85"/>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row>
    <row r="287" spans="1:64" s="86" customFormat="1" ht="41.25" customHeight="1">
      <c r="A287" s="87"/>
      <c r="B287" s="88"/>
      <c r="C287" s="89"/>
      <c r="D287" s="90"/>
      <c r="E287" s="91" t="s">
        <v>1116</v>
      </c>
      <c r="F287" s="90"/>
      <c r="G287" s="104" t="s">
        <v>1117</v>
      </c>
      <c r="H287" s="132"/>
      <c r="I287" s="106"/>
      <c r="J287" s="107"/>
      <c r="K287" s="134"/>
      <c r="L287" s="109" t="s">
        <v>1118</v>
      </c>
      <c r="M287" s="435">
        <f>"https://teslasciencecenter.z2systems.com/np/clients/teslasciencecenter/eventRegistration.jsp?event=621&amp;"</f>
        <v>0</v>
      </c>
      <c r="N287" s="435"/>
      <c r="O287" s="99"/>
      <c r="P287" s="130"/>
      <c r="Q287" s="100"/>
      <c r="R287" s="101"/>
      <c r="S287" s="85"/>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row>
    <row r="288" spans="1:64" ht="38.25" customHeight="1">
      <c r="A288" s="112" t="s">
        <v>1119</v>
      </c>
      <c r="B288" s="113" t="s">
        <v>1120</v>
      </c>
      <c r="C288" s="267">
        <f>"https://www.sae.org/attend/cyberauto"</f>
        <v>0</v>
      </c>
      <c r="D288" s="115" t="s">
        <v>1121</v>
      </c>
      <c r="E288" s="116" t="s">
        <v>1122</v>
      </c>
      <c r="F288" s="115" t="s">
        <v>1123</v>
      </c>
      <c r="G288" s="240" t="s">
        <v>1124</v>
      </c>
      <c r="H288" s="308" t="s">
        <v>757</v>
      </c>
      <c r="I288" s="119"/>
      <c r="J288" s="120"/>
      <c r="K288" s="241"/>
      <c r="L288" s="212">
        <f>"Who should attend?  https://www.sae.org/attend/cyberauto/attend"</f>
        <v>0</v>
      </c>
      <c r="M288" s="123">
        <f>"Apply: https://www.cyberautochallenge.us/moodle/login/index.php"</f>
        <v>0</v>
      </c>
      <c r="N288" s="155">
        <f>"Applications due 2020/04/13 (moved up)"</f>
        <v>0</v>
      </c>
      <c r="O288" s="274" t="s">
        <v>83</v>
      </c>
      <c r="P288" s="115">
        <f>"https://www.sae.org/attend/"</f>
        <v>0</v>
      </c>
      <c r="Q288" s="223" t="s">
        <v>839</v>
      </c>
      <c r="R288" s="347" t="s">
        <v>86</v>
      </c>
      <c r="S288" s="85"/>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row>
    <row r="289" spans="1:64" ht="52.5" customHeight="1">
      <c r="A289" s="112"/>
      <c r="B289" s="113"/>
      <c r="C289" s="267"/>
      <c r="D289" s="115"/>
      <c r="E289" s="115"/>
      <c r="F289" s="115"/>
      <c r="G289" s="240"/>
      <c r="H289" s="308"/>
      <c r="I289" s="119"/>
      <c r="J289" s="120"/>
      <c r="K289" s="241"/>
      <c r="L289" s="225">
        <f>"What is the CyberAuto Challenge?  https://www.sae.org/binaries/content/assets/cm/content/attend/2019/cyberauto/19_cyberauto_challenge.pdf"</f>
        <v>0</v>
      </c>
      <c r="M289" s="123"/>
      <c r="N289" s="155"/>
      <c r="O289" s="274"/>
      <c r="P289" s="115"/>
      <c r="Q289" s="223"/>
      <c r="R289" s="347"/>
      <c r="S289" s="85"/>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row>
    <row r="290" spans="1:64" ht="56.25" customHeight="1">
      <c r="A290" s="112"/>
      <c r="B290" s="113"/>
      <c r="C290" s="267"/>
      <c r="D290" s="115"/>
      <c r="E290" s="115"/>
      <c r="F290" s="115"/>
      <c r="G290" s="240"/>
      <c r="H290" s="308"/>
      <c r="I290" s="119"/>
      <c r="J290" s="120"/>
      <c r="K290" s="241"/>
      <c r="L290" s="225">
        <f>"Terms of Participation:   https://www.sae.org/binaries/content/assets/cm/content/attend/2019/cyberauto/2019-sae-cyberauto-challenge-terms-of-participation.pdf"</f>
        <v>0</v>
      </c>
      <c r="M290" s="123"/>
      <c r="N290" s="229"/>
      <c r="O290" s="274"/>
      <c r="P290" s="115"/>
      <c r="Q290" s="223"/>
      <c r="R290" s="347"/>
      <c r="S290" s="85"/>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row>
    <row r="291" spans="1:64" ht="45" customHeight="1">
      <c r="A291" s="112"/>
      <c r="B291" s="113"/>
      <c r="C291" s="267"/>
      <c r="D291" s="115"/>
      <c r="E291" s="115"/>
      <c r="F291" s="115"/>
      <c r="G291" s="240"/>
      <c r="H291" s="308"/>
      <c r="I291" s="119"/>
      <c r="J291" s="120"/>
      <c r="K291" s="241"/>
      <c r="L291" s="225">
        <f>"Sponsor:  https://www.sae.org/attend/cyberauto/sponsor"</f>
        <v>0</v>
      </c>
      <c r="M291" s="123"/>
      <c r="N291" s="229"/>
      <c r="O291" s="274"/>
      <c r="P291" s="115"/>
      <c r="Q291" s="223"/>
      <c r="R291" s="347"/>
      <c r="S291" s="85"/>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row>
    <row r="292" spans="1:19" s="86" customFormat="1" ht="40.5" customHeight="1">
      <c r="A292" s="87" t="s">
        <v>1125</v>
      </c>
      <c r="B292" s="88" t="s">
        <v>1126</v>
      </c>
      <c r="C292" s="89">
        <f>"http://www.trb.org/main/blurbs/180797.aspx"</f>
        <v>0</v>
      </c>
      <c r="D292" s="130"/>
      <c r="E292" s="91" t="s">
        <v>1127</v>
      </c>
      <c r="F292" s="130" t="s">
        <v>1128</v>
      </c>
      <c r="G292" s="104" t="s">
        <v>1129</v>
      </c>
      <c r="H292" s="132">
        <f>"Measuring trust of AVs:&amp;nbsp; &lt;b&gt;John&amp;nbsp;Lee&lt;/b&gt;, University of Wisconsin-Madison"</f>
        <v>0</v>
      </c>
      <c r="I292" s="301"/>
      <c r="J292" s="198"/>
      <c r="K292" s="302" t="s">
        <v>447</v>
      </c>
      <c r="L292" s="109" t="s">
        <v>577</v>
      </c>
      <c r="M292" s="110"/>
      <c r="N292" s="303"/>
      <c r="O292" s="99" t="s">
        <v>125</v>
      </c>
      <c r="P292" s="130" t="s">
        <v>319</v>
      </c>
      <c r="Q292" s="100" t="s">
        <v>54</v>
      </c>
      <c r="R292" s="128" t="s">
        <v>55</v>
      </c>
      <c r="S292" s="141"/>
    </row>
    <row r="293" spans="1:19" s="86" customFormat="1" ht="40.5" customHeight="1">
      <c r="A293" s="87"/>
      <c r="B293" s="88"/>
      <c r="C293" s="89"/>
      <c r="D293" s="130"/>
      <c r="E293" s="91"/>
      <c r="F293" s="130"/>
      <c r="G293" s="104"/>
      <c r="H293" s="132">
        <f>"Testing and collaboration:&amp;nbsp; &lt;b&gt;Valerie&amp;nbsp;Shuman&lt;/b&gt;, Shuman Consulting Group"</f>
        <v>0</v>
      </c>
      <c r="I293" s="301"/>
      <c r="J293" s="198"/>
      <c r="K293" s="302"/>
      <c r="L293" s="109"/>
      <c r="M293" s="110"/>
      <c r="N293" s="303"/>
      <c r="O293" s="99"/>
      <c r="P293" s="130"/>
      <c r="Q293" s="100"/>
      <c r="R293" s="128"/>
      <c r="S293" s="141"/>
    </row>
    <row r="294" spans="1:19" s="86" customFormat="1" ht="40.5" customHeight="1">
      <c r="A294" s="87"/>
      <c r="B294" s="88"/>
      <c r="C294" s="89"/>
      <c r="D294" s="130"/>
      <c r="E294" s="91"/>
      <c r="F294" s="130"/>
      <c r="G294" s="104"/>
      <c r="H294" s="132">
        <f>"Data systems:&amp;nbsp; &lt;b&gt;Ariel&amp;nbsp;Gold&lt;/b&gt;, U.S. Department of Transportation"</f>
        <v>0</v>
      </c>
      <c r="I294" s="301"/>
      <c r="J294" s="198"/>
      <c r="K294" s="302"/>
      <c r="L294" s="109"/>
      <c r="M294" s="110"/>
      <c r="N294" s="303"/>
      <c r="O294" s="99"/>
      <c r="P294" s="130"/>
      <c r="Q294" s="100"/>
      <c r="R294" s="128"/>
      <c r="S294" s="141"/>
    </row>
    <row r="295" spans="1:19" s="86" customFormat="1" ht="40.5" customHeight="1">
      <c r="A295" s="87"/>
      <c r="B295" s="88"/>
      <c r="C295" s="89"/>
      <c r="D295" s="130"/>
      <c r="E295" s="91"/>
      <c r="F295" s="130"/>
      <c r="G295" s="104"/>
      <c r="H295" s="132">
        <f>"ADAS system ratings:&amp;nbsp; &lt;b&gt;David&amp;nbsp;Harkey&lt;/b&gt;, Insurance Institute for Highway Safety"</f>
        <v>0</v>
      </c>
      <c r="I295" s="301"/>
      <c r="J295" s="198"/>
      <c r="K295" s="302"/>
      <c r="L295" s="109"/>
      <c r="M295" s="110"/>
      <c r="N295" s="303"/>
      <c r="O295" s="99"/>
      <c r="P295" s="130"/>
      <c r="Q295" s="100"/>
      <c r="R295" s="128"/>
      <c r="S295" s="141"/>
    </row>
    <row r="296" spans="1:19" s="86" customFormat="1" ht="40.5" customHeight="1">
      <c r="A296" s="87"/>
      <c r="B296" s="88"/>
      <c r="C296" s="89"/>
      <c r="D296" s="130"/>
      <c r="E296" s="91"/>
      <c r="F296" s="130"/>
      <c r="G296" s="104"/>
      <c r="H296" s="132">
        <f>"Question and answer session: Moderated by &lt;b&gt;Cynthia&amp;nbsp;Jones&lt;/b&gt;, DriveOhio"</f>
        <v>0</v>
      </c>
      <c r="I296" s="301"/>
      <c r="J296" s="198"/>
      <c r="K296" s="302"/>
      <c r="L296" s="109"/>
      <c r="M296" s="110"/>
      <c r="N296" s="303"/>
      <c r="O296" s="99"/>
      <c r="P296" s="130"/>
      <c r="Q296" s="100"/>
      <c r="R296" s="128"/>
      <c r="S296" s="141"/>
    </row>
    <row r="297" spans="1:64" s="86" customFormat="1" ht="42.75" customHeight="1">
      <c r="A297" s="87" t="s">
        <v>1130</v>
      </c>
      <c r="B297" s="88" t="s">
        <v>1131</v>
      </c>
      <c r="C297" s="89">
        <f>"https://erticonetwork.com/event/webinar-micro-mobility-now-the-safe-alternative/"</f>
        <v>0</v>
      </c>
      <c r="D297" s="90"/>
      <c r="E297" s="91" t="s">
        <v>1132</v>
      </c>
      <c r="F297" s="90" t="s">
        <v>1133</v>
      </c>
      <c r="G297" s="306" t="s">
        <v>1134</v>
      </c>
      <c r="H297" s="365" t="s">
        <v>1135</v>
      </c>
      <c r="I297" s="106"/>
      <c r="J297" s="107"/>
      <c r="K297" s="134"/>
      <c r="L297" s="96">
        <f>"Register:  https://register.gotowebinar.com/register/1975971237122147595"</f>
        <v>0</v>
      </c>
      <c r="M297" s="110"/>
      <c r="N297" s="98"/>
      <c r="O297" s="99" t="s">
        <v>222</v>
      </c>
      <c r="P297" s="130">
        <f>"https://ertico.com/"</f>
        <v>0</v>
      </c>
      <c r="Q297" s="100" t="s">
        <v>54</v>
      </c>
      <c r="R297" s="128" t="s">
        <v>55</v>
      </c>
      <c r="S297" s="85"/>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row>
    <row r="298" spans="1:64" s="86" customFormat="1" ht="30" customHeight="1">
      <c r="A298" s="87"/>
      <c r="B298" s="88"/>
      <c r="C298" s="89"/>
      <c r="D298" s="90"/>
      <c r="E298" s="90"/>
      <c r="F298" s="90"/>
      <c r="G298" s="306"/>
      <c r="H298" s="365" t="s">
        <v>1136</v>
      </c>
      <c r="I298" s="106"/>
      <c r="J298" s="107"/>
      <c r="K298" s="134"/>
      <c r="L298" s="96"/>
      <c r="M298" s="110"/>
      <c r="N298" s="98"/>
      <c r="O298" s="99"/>
      <c r="P298" s="130"/>
      <c r="Q298" s="100"/>
      <c r="R298" s="100"/>
      <c r="S298" s="85"/>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row>
    <row r="299" spans="1:64" s="86" customFormat="1" ht="30" customHeight="1">
      <c r="A299" s="87"/>
      <c r="B299" s="88"/>
      <c r="C299" s="89">
        <f>"Alt. Link:  https://ertico.com/event/webinar-micro-mobility-now-the-safe-alternative/"</f>
        <v>0</v>
      </c>
      <c r="D299" s="90"/>
      <c r="E299" s="90"/>
      <c r="F299" s="90"/>
      <c r="G299" s="306"/>
      <c r="H299" s="365" t="s">
        <v>1137</v>
      </c>
      <c r="I299" s="106"/>
      <c r="J299" s="107"/>
      <c r="K299" s="134"/>
      <c r="L299" s="96"/>
      <c r="M299" s="110"/>
      <c r="N299" s="98"/>
      <c r="O299" s="99"/>
      <c r="P299" s="130"/>
      <c r="Q299" s="100"/>
      <c r="R299" s="128"/>
      <c r="S299" s="85"/>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row>
    <row r="300" spans="1:64" s="86" customFormat="1" ht="40.5" customHeight="1">
      <c r="A300" s="87"/>
      <c r="B300" s="88"/>
      <c r="C300" s="89"/>
      <c r="D300" s="90"/>
      <c r="E300" s="90"/>
      <c r="F300" s="90"/>
      <c r="G300" s="306"/>
      <c r="H300" s="365" t="s">
        <v>1138</v>
      </c>
      <c r="I300" s="106"/>
      <c r="J300" s="107"/>
      <c r="K300" s="134"/>
      <c r="L300" s="96"/>
      <c r="M300" s="110"/>
      <c r="N300" s="98"/>
      <c r="O300" s="99"/>
      <c r="P300" s="130"/>
      <c r="Q300" s="100"/>
      <c r="R300" s="128"/>
      <c r="S300" s="85"/>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row>
    <row r="301" spans="1:19" s="86" customFormat="1" ht="66" customHeight="1">
      <c r="A301" s="87" t="s">
        <v>1139</v>
      </c>
      <c r="B301" s="88" t="s">
        <v>1140</v>
      </c>
      <c r="C301" s="89">
        <f>"https://chargedevs.com/newswire/designing-silicon-carbide-solutions-ev-fast-charging/"</f>
        <v>0</v>
      </c>
      <c r="D301" s="183"/>
      <c r="E301" s="91" t="s">
        <v>1141</v>
      </c>
      <c r="F301" s="90" t="s">
        <v>1142</v>
      </c>
      <c r="G301" s="104" t="s">
        <v>1143</v>
      </c>
      <c r="H301" s="132" t="s">
        <v>1144</v>
      </c>
      <c r="I301" s="106"/>
      <c r="J301" s="107"/>
      <c r="K301" s="108"/>
      <c r="L301" s="159">
        <f>"Resistration:  https://us02web.zoom.us/webinar/register/5015906973449/WN_DCI8ygpcQEOdSvmyfeClXg"</f>
        <v>0</v>
      </c>
      <c r="M301" s="110"/>
      <c r="N301" s="146"/>
      <c r="O301" s="99" t="s">
        <v>153</v>
      </c>
      <c r="P301" s="183">
        <f>"https://chargedevs.com/category/sponsored/"</f>
        <v>0</v>
      </c>
      <c r="Q301" s="100" t="s">
        <v>54</v>
      </c>
      <c r="R301" s="128" t="s">
        <v>55</v>
      </c>
      <c r="S301" s="141"/>
    </row>
    <row r="302" spans="1:64" s="86" customFormat="1" ht="78" customHeight="1">
      <c r="A302" s="112" t="s">
        <v>1145</v>
      </c>
      <c r="B302" s="113" t="s">
        <v>1146</v>
      </c>
      <c r="C302" s="143">
        <f>"https://www.sae.org/learn/content/c1950/"</f>
        <v>0</v>
      </c>
      <c r="D302" s="115" t="s">
        <v>1147</v>
      </c>
      <c r="E302" s="116" t="s">
        <v>1148</v>
      </c>
      <c r="F302" s="115" t="s">
        <v>1149</v>
      </c>
      <c r="G302" s="117">
        <f>"&amp;hellip; safety has some of the most complex requirements in the development of [autonomous] vehicles.&amp;nbsp; However, there are many misconceptions involving safety and the concept of safety as applied to [them]."</f>
        <v>0</v>
      </c>
      <c r="H302" s="217" t="s">
        <v>1150</v>
      </c>
      <c r="I302" s="119" t="s">
        <v>1151</v>
      </c>
      <c r="J302" s="119"/>
      <c r="K302" s="119"/>
      <c r="L302" s="154" t="s">
        <v>507</v>
      </c>
      <c r="M302" s="234" t="s">
        <v>395</v>
      </c>
      <c r="N302" s="235"/>
      <c r="O302" s="125" t="s">
        <v>396</v>
      </c>
      <c r="P302" s="115" t="s">
        <v>397</v>
      </c>
      <c r="Q302" s="126" t="s">
        <v>54</v>
      </c>
      <c r="R302" s="213" t="s">
        <v>55</v>
      </c>
      <c r="S302" s="85"/>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row>
    <row r="303" spans="1:64" s="86" customFormat="1" ht="42.75" customHeight="1">
      <c r="A303" s="102" t="s">
        <v>1152</v>
      </c>
      <c r="B303" s="88" t="s">
        <v>1153</v>
      </c>
      <c r="C303" s="89">
        <f>"https://www.incose.org/symp2020/home"</f>
        <v>0</v>
      </c>
      <c r="D303" s="130" t="s">
        <v>1154</v>
      </c>
      <c r="E303" s="209" t="s">
        <v>1155</v>
      </c>
      <c r="F303" s="130" t="s">
        <v>1156</v>
      </c>
      <c r="G303" s="104" t="s">
        <v>1157</v>
      </c>
      <c r="H303" s="132" t="s">
        <v>1158</v>
      </c>
      <c r="I303" s="106"/>
      <c r="J303" s="198"/>
      <c r="K303" s="108">
        <f>"https://www.incose.org/symp2019/contact/contacts-email"</f>
        <v>0</v>
      </c>
      <c r="L303" s="159">
        <f>"Call for Submissions:  https://www.incose.org/symp2020/symposium/call-for-submissions"</f>
        <v>0</v>
      </c>
      <c r="M303" s="110">
        <f>"https://easychair.org/conferences/?conf=is2020papers"</f>
        <v>0</v>
      </c>
      <c r="N303" s="329">
        <f>"Paper, Panel, and Tutorial:  2019/11/22"</f>
        <v>0</v>
      </c>
      <c r="O303" s="359" t="s">
        <v>1159</v>
      </c>
      <c r="P303" s="130">
        <f>"https://www.incose.org/"</f>
        <v>0</v>
      </c>
      <c r="Q303" s="360" t="s">
        <v>54</v>
      </c>
      <c r="R303" s="254" t="s">
        <v>55</v>
      </c>
      <c r="S303" s="85"/>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row>
    <row r="304" spans="1:64" s="86" customFormat="1" ht="66" customHeight="1">
      <c r="A304" s="102"/>
      <c r="B304" s="88"/>
      <c r="C304" s="89"/>
      <c r="D304" s="130"/>
      <c r="E304" s="209"/>
      <c r="F304" s="130"/>
      <c r="G304" s="104"/>
      <c r="H304" s="132"/>
      <c r="I304" s="106"/>
      <c r="J304" s="198"/>
      <c r="K304" s="108"/>
      <c r="L304" s="159"/>
      <c r="M304" s="110">
        <f>"Panel and roundtable submissions:  https://easychair.org/conferences/?conf=is2020panels"</f>
        <v>0</v>
      </c>
      <c r="N304" s="329"/>
      <c r="O304" s="359"/>
      <c r="P304" s="130"/>
      <c r="Q304" s="360"/>
      <c r="R304" s="254"/>
      <c r="S304" s="85"/>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row>
    <row r="305" spans="1:64" s="86" customFormat="1" ht="58.5" customHeight="1">
      <c r="A305" s="102"/>
      <c r="B305" s="88"/>
      <c r="C305" s="89"/>
      <c r="D305" s="130"/>
      <c r="E305" s="209"/>
      <c r="F305" s="130"/>
      <c r="G305" s="104"/>
      <c r="H305" s="132"/>
      <c r="I305" s="106"/>
      <c r="J305" s="198"/>
      <c r="K305" s="108"/>
      <c r="L305" s="159">
        <f>"Detailed submission Instructions:  https://www.incose.org/docs/default-source/events-documents/is2020/promotion/is2020-call-for-submission.pdf?sfvrsn=3b0d9fc6_4"</f>
        <v>0</v>
      </c>
      <c r="M305" s="110">
        <f>"Tutorial submissions:  https://easychair.org/conferences/?conf=is2020tutorials"</f>
        <v>0</v>
      </c>
      <c r="N305" s="329"/>
      <c r="O305" s="359"/>
      <c r="P305" s="130"/>
      <c r="Q305" s="360"/>
      <c r="R305" s="254"/>
      <c r="S305" s="85"/>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row>
    <row r="306" spans="1:64" s="86" customFormat="1" ht="67.5" customHeight="1">
      <c r="A306" s="102"/>
      <c r="B306" s="88"/>
      <c r="C306" s="89"/>
      <c r="D306" s="130"/>
      <c r="E306" s="209"/>
      <c r="F306" s="130"/>
      <c r="G306" s="104"/>
      <c r="H306" s="132"/>
      <c r="I306" s="106"/>
      <c r="J306" s="198"/>
      <c r="K306" s="108"/>
      <c r="L306" s="159"/>
      <c r="M306" s="110">
        <f>"Paperless Presentations submissions:  https://easychair.org/conferences/?conf=is2020presentations"</f>
        <v>0</v>
      </c>
      <c r="N306" s="146">
        <f>"Paperless Presentation abstracts due:  2020/02/16"</f>
        <v>0</v>
      </c>
      <c r="O306" s="359"/>
      <c r="P306" s="130"/>
      <c r="Q306" s="360"/>
      <c r="R306" s="254"/>
      <c r="S306" s="85"/>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row>
    <row r="307" spans="1:64" ht="44.25" customHeight="1">
      <c r="A307" s="102"/>
      <c r="B307" s="88"/>
      <c r="C307" s="89"/>
      <c r="D307" s="130"/>
      <c r="E307" s="209"/>
      <c r="F307" s="209"/>
      <c r="G307" s="104"/>
      <c r="H307" s="132"/>
      <c r="I307" s="106"/>
      <c r="J307" s="198"/>
      <c r="K307" s="108"/>
      <c r="L307" s="159">
        <f>"Submission forms and Templates:  https://www.incose.org/symp2020/contact/is2020---downloads"</f>
        <v>0</v>
      </c>
      <c r="M307" s="123" t="s">
        <v>1160</v>
      </c>
      <c r="N307" s="123"/>
      <c r="O307" s="359"/>
      <c r="P307" s="130"/>
      <c r="Q307" s="360"/>
      <c r="R307" s="254"/>
      <c r="S307" s="85"/>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row>
    <row r="308" spans="1:64" s="86" customFormat="1" ht="28.5" customHeight="1">
      <c r="A308" s="129" t="s">
        <v>1161</v>
      </c>
      <c r="B308" s="88" t="s">
        <v>1162</v>
      </c>
      <c r="C308" s="89">
        <f>"https://event.webcasts.com/starthere.jsp?ei=1334232&amp;tp_key=485ab0562e"</f>
        <v>0</v>
      </c>
      <c r="D308" s="130"/>
      <c r="E308" s="209" t="s">
        <v>1163</v>
      </c>
      <c r="F308" s="130" t="s">
        <v>1164</v>
      </c>
      <c r="G308" s="104">
        <f>"&amp;hellip; commercial vehicles [are likely] the most promising early adoption sector for high-level automation."</f>
        <v>0</v>
      </c>
      <c r="H308" s="132" t="s">
        <v>1165</v>
      </c>
      <c r="I308" s="106"/>
      <c r="J308" s="198"/>
      <c r="K308" s="134"/>
      <c r="L308" s="96"/>
      <c r="M308" s="110"/>
      <c r="N308" s="110"/>
      <c r="O308" s="203" t="s">
        <v>260</v>
      </c>
      <c r="P308" s="204">
        <f>"https://www.sae.org/webcasts"</f>
        <v>0</v>
      </c>
      <c r="Q308" s="205" t="s">
        <v>54</v>
      </c>
      <c r="R308" s="128" t="s">
        <v>55</v>
      </c>
      <c r="S308" s="85"/>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row>
    <row r="309" spans="1:64" s="86" customFormat="1" ht="41.25" customHeight="1">
      <c r="A309" s="129"/>
      <c r="B309" s="88"/>
      <c r="C309" s="89"/>
      <c r="D309" s="130"/>
      <c r="E309" s="130"/>
      <c r="F309" s="130"/>
      <c r="G309" s="104"/>
      <c r="H309" s="132" t="s">
        <v>1166</v>
      </c>
      <c r="I309" s="106"/>
      <c r="J309" s="198"/>
      <c r="K309" s="134"/>
      <c r="L309" s="96"/>
      <c r="M309" s="110"/>
      <c r="N309" s="110"/>
      <c r="O309" s="203"/>
      <c r="P309" s="204"/>
      <c r="Q309" s="205"/>
      <c r="R309" s="128"/>
      <c r="S309" s="85"/>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row>
    <row r="310" spans="1:64" ht="38.25" customHeight="1">
      <c r="A310" s="129"/>
      <c r="B310" s="88"/>
      <c r="C310" s="143">
        <f>"Alt. Link:  https://www.techbriefs.com/component/content/article/tb/webcasts/upcoming-webinars/37134"</f>
        <v>0</v>
      </c>
      <c r="D310" s="130"/>
      <c r="E310" s="130"/>
      <c r="F310" s="130"/>
      <c r="G310" s="104"/>
      <c r="H310" s="132" t="s">
        <v>1167</v>
      </c>
      <c r="I310" s="106"/>
      <c r="J310" s="198"/>
      <c r="K310" s="134"/>
      <c r="L310" s="96"/>
      <c r="M310" s="110"/>
      <c r="N310" s="110"/>
      <c r="O310" s="203"/>
      <c r="P310" s="204"/>
      <c r="Q310" s="205"/>
      <c r="R310" s="128"/>
      <c r="S310" s="85"/>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row>
    <row r="311" spans="1:64" ht="24" customHeight="1">
      <c r="A311" s="129"/>
      <c r="B311" s="88"/>
      <c r="C311" s="143"/>
      <c r="D311" s="130"/>
      <c r="E311" s="130"/>
      <c r="F311" s="130"/>
      <c r="G311" s="104"/>
      <c r="H311" s="132" t="s">
        <v>1168</v>
      </c>
      <c r="I311" s="106"/>
      <c r="J311" s="198"/>
      <c r="K311" s="134"/>
      <c r="L311" s="96"/>
      <c r="M311" s="110"/>
      <c r="N311" s="110"/>
      <c r="O311" s="203"/>
      <c r="P311" s="204"/>
      <c r="Q311" s="205"/>
      <c r="R311" s="128"/>
      <c r="S311" s="85"/>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row>
    <row r="312" spans="1:64" ht="30" customHeight="1">
      <c r="A312" s="147" t="s">
        <v>1169</v>
      </c>
      <c r="B312" s="113" t="s">
        <v>1170</v>
      </c>
      <c r="C312" s="143">
        <f>"https://plugvolt.com/seminars/"</f>
        <v>0</v>
      </c>
      <c r="D312" s="244" t="s">
        <v>753</v>
      </c>
      <c r="E312" s="239" t="s">
        <v>1171</v>
      </c>
      <c r="F312" s="244" t="s">
        <v>1172</v>
      </c>
      <c r="G312" s="346" t="s">
        <v>1173</v>
      </c>
      <c r="H312" s="374" t="s">
        <v>1174</v>
      </c>
      <c r="I312" s="436"/>
      <c r="J312" s="437"/>
      <c r="K312" s="438"/>
      <c r="L312" s="212" t="s">
        <v>1175</v>
      </c>
      <c r="M312" s="123" t="s">
        <v>1176</v>
      </c>
      <c r="N312" s="123"/>
      <c r="O312" s="222" t="s">
        <v>145</v>
      </c>
      <c r="P312" s="115" t="s">
        <v>1177</v>
      </c>
      <c r="Q312" s="223" t="s">
        <v>54</v>
      </c>
      <c r="R312" s="224" t="s">
        <v>55</v>
      </c>
      <c r="S312" s="85"/>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row>
    <row r="313" spans="1:64" ht="27" customHeight="1">
      <c r="A313" s="147"/>
      <c r="B313" s="113"/>
      <c r="C313" s="143"/>
      <c r="D313" s="244"/>
      <c r="E313" s="244"/>
      <c r="F313" s="244"/>
      <c r="G313" s="346"/>
      <c r="H313" s="374"/>
      <c r="I313" s="436"/>
      <c r="J313" s="437"/>
      <c r="K313" s="438"/>
      <c r="L313" s="212" t="s">
        <v>1178</v>
      </c>
      <c r="M313" s="123" t="s">
        <v>1179</v>
      </c>
      <c r="N313" s="123"/>
      <c r="O313" s="222"/>
      <c r="P313" s="148">
        <f>"http://plugvolt.com/seminars/"</f>
        <v>0</v>
      </c>
      <c r="Q313" s="223"/>
      <c r="R313" s="224"/>
      <c r="S313" s="85"/>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row>
    <row r="314" spans="1:64" ht="27" customHeight="1">
      <c r="A314" s="147"/>
      <c r="B314" s="113"/>
      <c r="C314" s="143"/>
      <c r="D314" s="244"/>
      <c r="E314" s="244"/>
      <c r="F314" s="244"/>
      <c r="G314" s="346"/>
      <c r="H314" s="374"/>
      <c r="I314" s="436"/>
      <c r="J314" s="437"/>
      <c r="K314" s="438"/>
      <c r="L314" s="212" t="s">
        <v>1180</v>
      </c>
      <c r="M314" s="123"/>
      <c r="N314" s="123"/>
      <c r="O314" s="222"/>
      <c r="P314" s="148"/>
      <c r="Q314" s="223"/>
      <c r="R314" s="224"/>
      <c r="S314" s="85"/>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row>
    <row r="315" spans="1:64" s="86" customFormat="1" ht="32.25" customHeight="1">
      <c r="A315" s="102">
        <f>"ACT Free Webinar:&amp;nbsp; Envisioning Hydrogen at a Self-Sustaining Scale"</f>
        <v>0</v>
      </c>
      <c r="B315" s="88" t="s">
        <v>1181</v>
      </c>
      <c r="C315" s="89">
        <f>"https://www.act-news.com/webinar/envisioning-hydrogen-at-a-self-sustaining-scale/"</f>
        <v>0</v>
      </c>
      <c r="D315" s="90"/>
      <c r="E315" s="91" t="s">
        <v>1182</v>
      </c>
      <c r="F315" s="90" t="s">
        <v>1183</v>
      </c>
      <c r="G315" s="104">
        <f>"&amp;hellip; the vision for large scale hydrogen.&amp;nbsp;&amp;hellip; how can hydrogen achieve a self-sustaining future?"</f>
        <v>0</v>
      </c>
      <c r="H315" s="132" t="s">
        <v>1184</v>
      </c>
      <c r="I315" s="106"/>
      <c r="J315" s="107"/>
      <c r="K315" s="108"/>
      <c r="L315" s="96">
        <f>"registration: http://subscribe.act-news.com/CHBC.July2020.Webinar.Registration"</f>
        <v>0</v>
      </c>
      <c r="M315" s="110"/>
      <c r="N315" s="110"/>
      <c r="O315" s="203" t="s">
        <v>420</v>
      </c>
      <c r="P315" s="195" t="s">
        <v>991</v>
      </c>
      <c r="Q315" s="360" t="s">
        <v>54</v>
      </c>
      <c r="R315" s="254" t="s">
        <v>55</v>
      </c>
      <c r="S315" s="85"/>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row>
    <row r="316" spans="1:64" s="86" customFormat="1" ht="32.25" customHeight="1">
      <c r="A316" s="102"/>
      <c r="B316" s="88"/>
      <c r="C316" s="89"/>
      <c r="D316" s="90"/>
      <c r="E316" s="90"/>
      <c r="F316" s="90"/>
      <c r="G316" s="104"/>
      <c r="H316" s="132" t="s">
        <v>1185</v>
      </c>
      <c r="I316" s="106"/>
      <c r="J316" s="107"/>
      <c r="K316" s="108"/>
      <c r="L316" s="96"/>
      <c r="M316" s="110"/>
      <c r="N316" s="110"/>
      <c r="O316" s="203"/>
      <c r="P316" s="195"/>
      <c r="Q316" s="360"/>
      <c r="R316" s="254"/>
      <c r="S316" s="85"/>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row>
    <row r="317" spans="1:64" s="86" customFormat="1" ht="32.25" customHeight="1">
      <c r="A317" s="102"/>
      <c r="B317" s="88"/>
      <c r="C317" s="89"/>
      <c r="D317" s="90"/>
      <c r="E317" s="90"/>
      <c r="F317" s="90"/>
      <c r="G317" s="104"/>
      <c r="H317" s="132" t="s">
        <v>1186</v>
      </c>
      <c r="I317" s="106"/>
      <c r="J317" s="107"/>
      <c r="K317" s="108"/>
      <c r="L317" s="96"/>
      <c r="M317" s="110"/>
      <c r="N317" s="110"/>
      <c r="O317" s="203"/>
      <c r="P317" s="195"/>
      <c r="Q317" s="360"/>
      <c r="R317" s="254"/>
      <c r="S317" s="85"/>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row>
    <row r="318" spans="1:64" s="86" customFormat="1" ht="32.25" customHeight="1">
      <c r="A318" s="102"/>
      <c r="B318" s="88"/>
      <c r="C318" s="89"/>
      <c r="D318" s="90"/>
      <c r="E318" s="90"/>
      <c r="F318" s="90"/>
      <c r="G318" s="104"/>
      <c r="H318" s="132" t="s">
        <v>1187</v>
      </c>
      <c r="I318" s="106"/>
      <c r="J318" s="107"/>
      <c r="K318" s="108"/>
      <c r="L318" s="96"/>
      <c r="M318" s="110"/>
      <c r="N318" s="110"/>
      <c r="O318" s="203"/>
      <c r="P318" s="195"/>
      <c r="Q318" s="360"/>
      <c r="R318" s="254"/>
      <c r="S318" s="85"/>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row>
    <row r="319" spans="1:64" s="86" customFormat="1" ht="47.25" customHeight="1">
      <c r="A319" s="102"/>
      <c r="B319" s="88"/>
      <c r="C319" s="89"/>
      <c r="D319" s="90"/>
      <c r="E319" s="90"/>
      <c r="F319" s="90"/>
      <c r="G319" s="104"/>
      <c r="H319" s="132" t="s">
        <v>1188</v>
      </c>
      <c r="I319" s="106"/>
      <c r="J319" s="107"/>
      <c r="K319" s="108"/>
      <c r="L319" s="96"/>
      <c r="M319" s="110"/>
      <c r="N319" s="110"/>
      <c r="O319" s="203"/>
      <c r="P319" s="195"/>
      <c r="Q319" s="360"/>
      <c r="R319" s="254"/>
      <c r="S319" s="85"/>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row>
    <row r="320" spans="1:64" s="86" customFormat="1" ht="53.25" customHeight="1">
      <c r="A320" s="87" t="s">
        <v>1189</v>
      </c>
      <c r="B320" s="90" t="s">
        <v>1190</v>
      </c>
      <c r="C320" s="90">
        <f>"https://register.gotowebinar.com/register/7183178040907458829"</f>
        <v>0</v>
      </c>
      <c r="D320" s="90"/>
      <c r="E320" s="91" t="s">
        <v>1191</v>
      </c>
      <c r="F320" s="90" t="s">
        <v>1192</v>
      </c>
      <c r="G320" s="160" t="s">
        <v>1193</v>
      </c>
      <c r="H320" s="168" t="s">
        <v>1194</v>
      </c>
      <c r="I320" s="318"/>
      <c r="J320" s="198">
        <f>"1-877-PLUGVOLT (1-877-758-4865)"</f>
        <v>0</v>
      </c>
      <c r="K320" s="319">
        <f>"mailto:info@plugvolt.com"</f>
        <v>0</v>
      </c>
      <c r="L320" s="364"/>
      <c r="M320" s="130"/>
      <c r="N320" s="130"/>
      <c r="O320" s="359" t="s">
        <v>145</v>
      </c>
      <c r="P320" s="90">
        <f>"https://plugvolt.com/webinars/"</f>
        <v>0</v>
      </c>
      <c r="Q320" s="360" t="s">
        <v>54</v>
      </c>
      <c r="R320" s="254" t="s">
        <v>55</v>
      </c>
      <c r="S320" s="354"/>
      <c r="T320" s="355"/>
      <c r="U320" s="355"/>
      <c r="V320" s="355"/>
      <c r="W320" s="355"/>
      <c r="X320" s="355"/>
      <c r="Y320" s="355"/>
      <c r="Z320" s="355"/>
      <c r="AA320" s="355"/>
      <c r="AB320" s="355"/>
      <c r="AC320" s="355"/>
      <c r="AD320" s="355"/>
      <c r="AE320" s="355"/>
      <c r="AF320" s="355"/>
      <c r="AG320" s="355"/>
      <c r="AH320" s="355"/>
      <c r="AI320" s="355"/>
      <c r="AJ320" s="355"/>
      <c r="AK320" s="355"/>
      <c r="AL320" s="355"/>
      <c r="AM320" s="355"/>
      <c r="AN320" s="355"/>
      <c r="AO320" s="355"/>
      <c r="AP320" s="355"/>
      <c r="AQ320" s="355"/>
      <c r="AR320" s="355"/>
      <c r="AS320" s="355"/>
      <c r="AT320" s="355"/>
      <c r="AU320" s="355"/>
      <c r="AV320" s="355"/>
      <c r="AW320" s="355"/>
      <c r="AX320" s="355"/>
      <c r="AY320" s="355"/>
      <c r="AZ320" s="355"/>
      <c r="BA320" s="355"/>
      <c r="BB320" s="355"/>
      <c r="BC320" s="355"/>
      <c r="BD320" s="355"/>
      <c r="BE320" s="355"/>
      <c r="BF320" s="355"/>
      <c r="BG320" s="355"/>
      <c r="BH320" s="355"/>
      <c r="BI320" s="355"/>
      <c r="BJ320" s="355"/>
      <c r="BK320" s="355"/>
      <c r="BL320" s="355"/>
    </row>
    <row r="321" spans="1:64" s="86" customFormat="1" ht="45" customHeight="1">
      <c r="A321" s="87"/>
      <c r="B321" s="90"/>
      <c r="C321" s="90"/>
      <c r="D321" s="90"/>
      <c r="E321" s="91"/>
      <c r="F321" s="91"/>
      <c r="G321" s="160"/>
      <c r="H321" s="132" t="s">
        <v>1195</v>
      </c>
      <c r="I321" s="318"/>
      <c r="J321" s="198"/>
      <c r="K321" s="319"/>
      <c r="L321" s="364"/>
      <c r="M321" s="130"/>
      <c r="N321" s="130"/>
      <c r="O321" s="359"/>
      <c r="P321" s="90"/>
      <c r="Q321" s="360"/>
      <c r="R321" s="254"/>
      <c r="S321" s="85"/>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row>
    <row r="322" spans="1:64" s="86" customFormat="1" ht="51" customHeight="1">
      <c r="A322" s="87" t="s">
        <v>1196</v>
      </c>
      <c r="B322" s="88" t="s">
        <v>1197</v>
      </c>
      <c r="C322" s="89">
        <f>"https://www.sae.org/learn/content/c1602/"</f>
        <v>0</v>
      </c>
      <c r="D322" s="183" t="s">
        <v>552</v>
      </c>
      <c r="E322" s="91" t="s">
        <v>1198</v>
      </c>
      <c r="F322" s="183" t="s">
        <v>1199</v>
      </c>
      <c r="G322" s="104" t="s">
        <v>1200</v>
      </c>
      <c r="H322" s="132">
        <f>"Instructor:  Eric Timmis"</f>
        <v>0</v>
      </c>
      <c r="I322" s="106"/>
      <c r="J322" s="202"/>
      <c r="K322" s="108"/>
      <c r="L322" s="159" t="s">
        <v>1201</v>
      </c>
      <c r="M322" s="173" t="s">
        <v>459</v>
      </c>
      <c r="N322" s="180"/>
      <c r="O322" s="99" t="s">
        <v>396</v>
      </c>
      <c r="P322" s="183">
        <f>"https://www.sae.org/learn/professional-development"</f>
        <v>0</v>
      </c>
      <c r="Q322" s="100" t="s">
        <v>54</v>
      </c>
      <c r="R322" s="128" t="s">
        <v>55</v>
      </c>
      <c r="S322" s="85"/>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row>
    <row r="323" spans="1:64" ht="68.25" customHeight="1">
      <c r="A323" s="87" t="s">
        <v>1196</v>
      </c>
      <c r="B323" s="88" t="s">
        <v>1202</v>
      </c>
      <c r="C323" s="89">
        <f>"http://www.automatedvehiclessymposium.org/home"</f>
        <v>0</v>
      </c>
      <c r="D323" s="90" t="s">
        <v>1203</v>
      </c>
      <c r="E323" s="91" t="s">
        <v>1204</v>
      </c>
      <c r="F323" s="90" t="s">
        <v>1205</v>
      </c>
      <c r="G323" s="306" t="s">
        <v>1206</v>
      </c>
      <c r="H323" s="132"/>
      <c r="I323" s="106"/>
      <c r="J323" s="107"/>
      <c r="K323" s="439">
        <f>"mailto:meetings@auvsi.org"</f>
        <v>0</v>
      </c>
      <c r="L323" s="159">
        <f>"Exhibits:  https://www.automatedvehiclessymposium.org/exhibits-sponsorss"</f>
        <v>0</v>
      </c>
      <c r="M323" s="435">
        <f>"Agenda:  https://www.automatedvehiclessymposium.org/attend/agenda"</f>
        <v>0</v>
      </c>
      <c r="N323" s="435"/>
      <c r="O323" s="330" t="s">
        <v>1207</v>
      </c>
      <c r="P323" s="331">
        <f>"http://www.trb.org/Calendar/Calendar.aspx"</f>
        <v>0</v>
      </c>
      <c r="Q323" s="360" t="s">
        <v>54</v>
      </c>
      <c r="R323" s="254" t="s">
        <v>55</v>
      </c>
      <c r="S323" s="85"/>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row>
    <row r="324" spans="1:64" s="86" customFormat="1" ht="33.75" customHeight="1">
      <c r="A324" s="87">
        <f>"SAE Free Webinar:&amp;nbsp; Why Multiple Sensing Modalities Are Required to Achieve Level 3 to 5 Vehicle Automation"</f>
        <v>0</v>
      </c>
      <c r="B324" s="88" t="s">
        <v>1208</v>
      </c>
      <c r="C324" s="89">
        <f>"https://event.webcasts.com/starthere.jsp?ei=1339838&amp;tp_key=3d23bd3b68"</f>
        <v>0</v>
      </c>
      <c r="D324" s="90"/>
      <c r="E324" s="91" t="s">
        <v>1209</v>
      </c>
      <c r="F324" s="90" t="s">
        <v>1210</v>
      </c>
      <c r="G324" s="306" t="s">
        <v>1211</v>
      </c>
      <c r="H324" s="132" t="s">
        <v>1212</v>
      </c>
      <c r="I324" s="106"/>
      <c r="J324" s="107"/>
      <c r="K324" s="134"/>
      <c r="L324" s="159"/>
      <c r="M324" s="110"/>
      <c r="N324" s="110"/>
      <c r="O324" s="203" t="s">
        <v>260</v>
      </c>
      <c r="P324" s="195" t="s">
        <v>1213</v>
      </c>
      <c r="Q324" s="360" t="s">
        <v>54</v>
      </c>
      <c r="R324" s="254" t="s">
        <v>55</v>
      </c>
      <c r="S324" s="85"/>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row>
    <row r="325" spans="1:64" s="86" customFormat="1" ht="33" customHeight="1">
      <c r="A325" s="87"/>
      <c r="B325" s="88"/>
      <c r="C325" s="89"/>
      <c r="D325" s="90"/>
      <c r="E325" s="90"/>
      <c r="F325" s="90"/>
      <c r="G325" s="306"/>
      <c r="H325" s="132" t="s">
        <v>1214</v>
      </c>
      <c r="I325" s="106"/>
      <c r="J325" s="107"/>
      <c r="K325" s="134"/>
      <c r="L325" s="159"/>
      <c r="M325" s="110"/>
      <c r="N325" s="110"/>
      <c r="O325" s="203"/>
      <c r="P325" s="195"/>
      <c r="Q325" s="360"/>
      <c r="R325" s="254"/>
      <c r="S325" s="85"/>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row>
    <row r="326" spans="1:64" s="86" customFormat="1" ht="67.5" customHeight="1">
      <c r="A326" s="129">
        <f>"ACT Free Webinar:&amp;nbsp; Overcoming EV Roadblocks: How to Maximize Cost Savings for Vehicles, Infrastructure, and Energy"</f>
        <v>0</v>
      </c>
      <c r="B326" s="88" t="s">
        <v>1215</v>
      </c>
      <c r="C326" s="89">
        <f>"https://www.act-news.com/webinar/overcoming-ev-roadblocks-how-to-maximize-cost-savings-for-vehicles-infrastructure-and-energy/"</f>
        <v>0</v>
      </c>
      <c r="D326" s="90"/>
      <c r="E326" s="91" t="s">
        <v>1216</v>
      </c>
      <c r="F326" s="90" t="s">
        <v>1217</v>
      </c>
      <c r="G326" s="104">
        <f>"A fleet manager must consider numerous factors when making the decision to electrify, such as the vehicle cost, infrastructure installation, permitting, and maintenance."</f>
        <v>0</v>
      </c>
      <c r="H326" s="132" t="s">
        <v>1218</v>
      </c>
      <c r="I326" s="106"/>
      <c r="J326" s="107"/>
      <c r="K326" s="134"/>
      <c r="L326" s="96">
        <f>"registration: http://subscribe.act-news.com/sdge.july2020.webinar.registration"</f>
        <v>0</v>
      </c>
      <c r="M326" s="110"/>
      <c r="N326" s="110"/>
      <c r="O326" s="203" t="s">
        <v>420</v>
      </c>
      <c r="P326" s="204" t="s">
        <v>991</v>
      </c>
      <c r="Q326" s="360" t="s">
        <v>54</v>
      </c>
      <c r="R326" s="254" t="s">
        <v>55</v>
      </c>
      <c r="S326" s="85"/>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row>
    <row r="327" spans="1:64" s="86" customFormat="1" ht="42" customHeight="1">
      <c r="A327" s="129"/>
      <c r="B327" s="88"/>
      <c r="C327" s="89"/>
      <c r="D327" s="90"/>
      <c r="E327" s="90"/>
      <c r="F327" s="90"/>
      <c r="G327" s="104"/>
      <c r="H327" s="132" t="s">
        <v>1219</v>
      </c>
      <c r="I327" s="106"/>
      <c r="J327" s="107"/>
      <c r="K327" s="134"/>
      <c r="L327" s="96"/>
      <c r="M327" s="110"/>
      <c r="N327" s="110"/>
      <c r="O327" s="203"/>
      <c r="P327" s="204"/>
      <c r="Q327" s="360"/>
      <c r="R327" s="254"/>
      <c r="S327" s="85"/>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row>
    <row r="328" spans="1:64" s="86" customFormat="1" ht="33.75" customHeight="1">
      <c r="A328" s="129"/>
      <c r="B328" s="88"/>
      <c r="C328" s="89"/>
      <c r="D328" s="90"/>
      <c r="E328" s="90"/>
      <c r="F328" s="90"/>
      <c r="G328" s="104"/>
      <c r="H328" s="132" t="s">
        <v>1220</v>
      </c>
      <c r="I328" s="106"/>
      <c r="J328" s="107"/>
      <c r="K328" s="134"/>
      <c r="L328" s="96"/>
      <c r="M328" s="110"/>
      <c r="N328" s="110"/>
      <c r="O328" s="203"/>
      <c r="P328" s="204"/>
      <c r="Q328" s="360"/>
      <c r="R328" s="254"/>
      <c r="S328" s="85"/>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row>
    <row r="329" spans="1:64" s="86" customFormat="1" ht="54" customHeight="1">
      <c r="A329" s="129"/>
      <c r="B329" s="88"/>
      <c r="C329" s="89"/>
      <c r="D329" s="90"/>
      <c r="E329" s="90"/>
      <c r="F329" s="90"/>
      <c r="G329" s="104"/>
      <c r="H329" s="132" t="s">
        <v>1221</v>
      </c>
      <c r="I329" s="106"/>
      <c r="J329" s="107"/>
      <c r="K329" s="134"/>
      <c r="L329" s="96"/>
      <c r="M329" s="110"/>
      <c r="N329" s="110"/>
      <c r="O329" s="203"/>
      <c r="P329" s="204"/>
      <c r="Q329" s="360"/>
      <c r="R329" s="254"/>
      <c r="S329" s="85"/>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row>
    <row r="330" spans="1:64" s="86" customFormat="1" ht="42" customHeight="1">
      <c r="A330" s="87">
        <f>"SAE Free Webinar:&amp;nbsp; Aviation Electrification: Choosing Your Motor Topology and Material Advancements"</f>
        <v>0</v>
      </c>
      <c r="B330" s="88" t="s">
        <v>1222</v>
      </c>
      <c r="C330" s="89">
        <f>"https://event.webcasts.com/starthere.jsp?ei=1339420&amp;tp_key=452d414d3c"</f>
        <v>0</v>
      </c>
      <c r="D330" s="440"/>
      <c r="E330" s="91" t="s">
        <v>1223</v>
      </c>
      <c r="F330" s="90" t="s">
        <v>1224</v>
      </c>
      <c r="G330" s="306">
        <f>"These new technologies are placing greater demands on motors &amp;hellip;. Selecting the correct motor topology to meet these requirements is extremely important."</f>
        <v>0</v>
      </c>
      <c r="H330" s="132" t="s">
        <v>1225</v>
      </c>
      <c r="I330" s="106"/>
      <c r="J330" s="107"/>
      <c r="K330" s="134"/>
      <c r="L330" s="159"/>
      <c r="M330" s="110"/>
      <c r="N330" s="110"/>
      <c r="O330" s="203" t="s">
        <v>260</v>
      </c>
      <c r="P330" s="195" t="s">
        <v>1213</v>
      </c>
      <c r="Q330" s="360" t="s">
        <v>54</v>
      </c>
      <c r="R330" s="254" t="s">
        <v>55</v>
      </c>
      <c r="S330" s="85"/>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row>
    <row r="331" spans="1:64" s="86" customFormat="1" ht="34.5" customHeight="1">
      <c r="A331" s="87"/>
      <c r="B331" s="88"/>
      <c r="C331" s="89"/>
      <c r="D331" s="440"/>
      <c r="E331" s="91"/>
      <c r="F331" s="90"/>
      <c r="G331" s="306"/>
      <c r="H331" s="132" t="s">
        <v>1226</v>
      </c>
      <c r="I331" s="106"/>
      <c r="J331" s="107"/>
      <c r="K331" s="134"/>
      <c r="L331" s="159"/>
      <c r="M331" s="110"/>
      <c r="N331" s="110"/>
      <c r="O331" s="203"/>
      <c r="P331" s="195"/>
      <c r="Q331" s="360"/>
      <c r="R331" s="254"/>
      <c r="S331" s="85"/>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row>
    <row r="332" spans="1:64" s="86" customFormat="1" ht="66" customHeight="1">
      <c r="A332" s="87" t="s">
        <v>1227</v>
      </c>
      <c r="B332" s="90" t="s">
        <v>1228</v>
      </c>
      <c r="C332" s="90">
        <f>"https://register.gotowebinar.com/register/1242924633989734926"</f>
        <v>0</v>
      </c>
      <c r="D332" s="90"/>
      <c r="E332" s="91" t="s">
        <v>1229</v>
      </c>
      <c r="F332" s="90" t="s">
        <v>1230</v>
      </c>
      <c r="G332" s="104" t="s">
        <v>1231</v>
      </c>
      <c r="H332" s="168" t="s">
        <v>1232</v>
      </c>
      <c r="I332" s="318"/>
      <c r="J332" s="133">
        <f>"1-877-PLUGVOLT (1-877-758-4865)"</f>
        <v>0</v>
      </c>
      <c r="K332" s="319">
        <f>"mailto:info@plugvolt.com"</f>
        <v>0</v>
      </c>
      <c r="L332" s="199" t="s">
        <v>831</v>
      </c>
      <c r="M332" s="183"/>
      <c r="N332" s="183"/>
      <c r="O332" s="359" t="s">
        <v>145</v>
      </c>
      <c r="P332" s="183">
        <f>"https://plugvolt.com/webinars/"</f>
        <v>0</v>
      </c>
      <c r="Q332" s="360" t="s">
        <v>54</v>
      </c>
      <c r="R332" s="254" t="s">
        <v>55</v>
      </c>
      <c r="S332" s="354"/>
      <c r="T332" s="355"/>
      <c r="U332" s="355"/>
      <c r="V332" s="355"/>
      <c r="W332" s="355"/>
      <c r="X332" s="355"/>
      <c r="Y332" s="355"/>
      <c r="Z332" s="355"/>
      <c r="AA332" s="355"/>
      <c r="AB332" s="355"/>
      <c r="AC332" s="355"/>
      <c r="AD332" s="355"/>
      <c r="AE332" s="355"/>
      <c r="AF332" s="355"/>
      <c r="AG332" s="355"/>
      <c r="AH332" s="355"/>
      <c r="AI332" s="355"/>
      <c r="AJ332" s="355"/>
      <c r="AK332" s="355"/>
      <c r="AL332" s="355"/>
      <c r="AM332" s="355"/>
      <c r="AN332" s="355"/>
      <c r="AO332" s="355"/>
      <c r="AP332" s="355"/>
      <c r="AQ332" s="355"/>
      <c r="AR332" s="355"/>
      <c r="AS332" s="355"/>
      <c r="AT332" s="355"/>
      <c r="AU332" s="355"/>
      <c r="AV332" s="355"/>
      <c r="AW332" s="355"/>
      <c r="AX332" s="355"/>
      <c r="AY332" s="355"/>
      <c r="AZ332" s="355"/>
      <c r="BA332" s="355"/>
      <c r="BB332" s="355"/>
      <c r="BC332" s="355"/>
      <c r="BD332" s="355"/>
      <c r="BE332" s="355"/>
      <c r="BF332" s="355"/>
      <c r="BG332" s="355"/>
      <c r="BH332" s="355"/>
      <c r="BI332" s="355"/>
      <c r="BJ332" s="355"/>
      <c r="BK332" s="355"/>
      <c r="BL332" s="355"/>
    </row>
    <row r="333" spans="1:64" s="86" customFormat="1" ht="55.5" customHeight="1">
      <c r="A333" s="87" t="s">
        <v>1233</v>
      </c>
      <c r="B333" s="90" t="s">
        <v>1234</v>
      </c>
      <c r="C333" s="90">
        <f>"https://chargedevs.com/newswire/webinar-rework-ability-of-gap-fillers-in-ev-battery-packs/"</f>
        <v>0</v>
      </c>
      <c r="D333" s="90"/>
      <c r="E333" s="91" t="s">
        <v>1235</v>
      </c>
      <c r="F333" s="90" t="s">
        <v>1236</v>
      </c>
      <c r="G333" s="104">
        <f>"&amp;hellip; electric vehicle[s] market [need] robust and efficient thermal management solutions for battery packs, such as gap fillers and thermal pads."</f>
        <v>0</v>
      </c>
      <c r="H333" s="168">
        <f>"&lt;b&gt;Anurodh&amp;nbsp;Tripathi&lt;/b&gt; &amp;ndash; Senior Scientist, adv. chem. tech. dep&amp;rsquo;t at Parker LORD"</f>
        <v>0</v>
      </c>
      <c r="I333" s="318"/>
      <c r="J333" s="133"/>
      <c r="K333" s="319"/>
      <c r="L333" s="199">
        <f>"Resistration:  https://us02web.zoom.us/webinar/register/1115952635093/WN_7pfCKDJUQmC6O0h8iNXb8Q"</f>
        <v>0</v>
      </c>
      <c r="M333" s="183"/>
      <c r="N333" s="183"/>
      <c r="O333" s="359" t="s">
        <v>153</v>
      </c>
      <c r="P333" s="183" t="s">
        <v>154</v>
      </c>
      <c r="Q333" s="360" t="s">
        <v>54</v>
      </c>
      <c r="R333" s="254" t="s">
        <v>55</v>
      </c>
      <c r="S333" s="354"/>
      <c r="T333" s="355"/>
      <c r="U333" s="355"/>
      <c r="V333" s="355"/>
      <c r="W333" s="355"/>
      <c r="X333" s="355"/>
      <c r="Y333" s="355"/>
      <c r="Z333" s="355"/>
      <c r="AA333" s="355"/>
      <c r="AB333" s="355"/>
      <c r="AC333" s="355"/>
      <c r="AD333" s="355"/>
      <c r="AE333" s="355"/>
      <c r="AF333" s="355"/>
      <c r="AG333" s="355"/>
      <c r="AH333" s="355"/>
      <c r="AI333" s="355"/>
      <c r="AJ333" s="355"/>
      <c r="AK333" s="355"/>
      <c r="AL333" s="355"/>
      <c r="AM333" s="355"/>
      <c r="AN333" s="355"/>
      <c r="AO333" s="355"/>
      <c r="AP333" s="355"/>
      <c r="AQ333" s="355"/>
      <c r="AR333" s="355"/>
      <c r="AS333" s="355"/>
      <c r="AT333" s="355"/>
      <c r="AU333" s="355"/>
      <c r="AV333" s="355"/>
      <c r="AW333" s="355"/>
      <c r="AX333" s="355"/>
      <c r="AY333" s="355"/>
      <c r="AZ333" s="355"/>
      <c r="BA333" s="355"/>
      <c r="BB333" s="355"/>
      <c r="BC333" s="355"/>
      <c r="BD333" s="355"/>
      <c r="BE333" s="355"/>
      <c r="BF333" s="355"/>
      <c r="BG333" s="355"/>
      <c r="BH333" s="355"/>
      <c r="BI333" s="355"/>
      <c r="BJ333" s="355"/>
      <c r="BK333" s="355"/>
      <c r="BL333" s="355"/>
    </row>
    <row r="334" spans="1:64" ht="82.5" customHeight="1">
      <c r="A334" s="112" t="s">
        <v>358</v>
      </c>
      <c r="B334" s="148" t="s">
        <v>359</v>
      </c>
      <c r="C334" s="148">
        <f>"https://tmt.knect365.com/connected-vehicles/"</f>
        <v>0</v>
      </c>
      <c r="D334" s="148" t="s">
        <v>360</v>
      </c>
      <c r="E334" s="116" t="s">
        <v>1237</v>
      </c>
      <c r="F334" s="148" t="s">
        <v>361</v>
      </c>
      <c r="G334" s="216" t="s">
        <v>362</v>
      </c>
      <c r="H334" s="217">
        <f>"Sign up to indicate interest, and for updates:  https://get.knect365.com/connected-vehicles/2020-pre-registration/"</f>
        <v>0</v>
      </c>
      <c r="I334" s="218">
        <f>"Agenda:  https://tmt.knect365.com/connected-vehicles/agenda"</f>
        <v>0</v>
      </c>
      <c r="J334" s="219">
        <f>"Colocated with &amp;ldquo;Internet of Things World&amp;rdquo;:  https://tmt.knect365.com/iot-world/"</f>
        <v>0</v>
      </c>
      <c r="K334" s="220">
        <f>"https://tmt.knect365.com/connected-vehicles/contact"</f>
        <v>0</v>
      </c>
      <c r="L334" s="212">
        <f>"Speaking Opportunities  Catherine Friar"</f>
        <v>0</v>
      </c>
      <c r="M334" s="123">
        <f>"mailto:Catherine.C.Friar@KNect365.com                     T: +44 020701 77604"</f>
        <v>0</v>
      </c>
      <c r="N334" s="221" t="s">
        <v>363</v>
      </c>
      <c r="O334" s="222" t="s">
        <v>53</v>
      </c>
      <c r="P334" s="148" t="s">
        <v>364</v>
      </c>
      <c r="Q334" s="223" t="s">
        <v>365</v>
      </c>
      <c r="R334" s="224" t="s">
        <v>55</v>
      </c>
      <c r="S334" s="85"/>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row>
    <row r="335" spans="1:64" ht="85.5" customHeight="1">
      <c r="A335" s="112"/>
      <c r="B335" s="148"/>
      <c r="C335" s="148"/>
      <c r="D335" s="148"/>
      <c r="E335" s="116"/>
      <c r="F335" s="148"/>
      <c r="G335" s="216"/>
      <c r="H335" s="217"/>
      <c r="I335" s="218">
        <f>"Brochure:  https://get.knect365.com/connected-vehicles/2020-event-brochure/"</f>
        <v>0</v>
      </c>
      <c r="J335" s="219"/>
      <c r="K335" s="220"/>
      <c r="L335" s="225">
        <f>"https://get.knect365.com/connA1274ected-vehicles/2020-speaking-proposal/"</f>
        <v>0</v>
      </c>
      <c r="M335" s="226"/>
      <c r="N335" s="221" t="s">
        <v>366</v>
      </c>
      <c r="O335" s="222"/>
      <c r="P335" s="148"/>
      <c r="Q335" s="223"/>
      <c r="R335" s="224"/>
      <c r="S335" s="85"/>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row>
    <row r="336" spans="1:64" ht="26.25" customHeight="1">
      <c r="A336" s="112" t="s">
        <v>694</v>
      </c>
      <c r="B336" s="113" t="s">
        <v>695</v>
      </c>
      <c r="C336" s="339" t="s">
        <v>696</v>
      </c>
      <c r="D336" s="115" t="s">
        <v>697</v>
      </c>
      <c r="E336" s="116" t="s">
        <v>1238</v>
      </c>
      <c r="F336" s="115" t="s">
        <v>699</v>
      </c>
      <c r="G336" s="240" t="s">
        <v>700</v>
      </c>
      <c r="H336" s="308" t="s">
        <v>643</v>
      </c>
      <c r="I336" s="119"/>
      <c r="J336" s="120"/>
      <c r="K336" s="340" t="s">
        <v>701</v>
      </c>
      <c r="L336" s="341">
        <f>"https://www.actexpo.com/abstracts"</f>
        <v>0</v>
      </c>
      <c r="M336" s="342">
        <f>"mailto:abstracts@actexpo.com"</f>
        <v>0</v>
      </c>
      <c r="N336" s="343" t="s">
        <v>702</v>
      </c>
      <c r="O336" s="125" t="s">
        <v>703</v>
      </c>
      <c r="P336" s="115" t="s">
        <v>704</v>
      </c>
      <c r="Q336" s="126" t="s">
        <v>85</v>
      </c>
      <c r="R336" s="127" t="s">
        <v>86</v>
      </c>
      <c r="S336" s="85"/>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row>
    <row r="337" spans="1:64" ht="26.25" customHeight="1">
      <c r="A337" s="112"/>
      <c r="B337" s="113"/>
      <c r="C337" s="339"/>
      <c r="D337" s="115"/>
      <c r="E337" s="116"/>
      <c r="F337" s="115"/>
      <c r="G337" s="240"/>
      <c r="H337" s="308"/>
      <c r="I337" s="119"/>
      <c r="J337" s="120"/>
      <c r="K337" s="340"/>
      <c r="L337" s="344">
        <f>"News:  https://www.actexpo.com/news"</f>
        <v>0</v>
      </c>
      <c r="M337" s="344"/>
      <c r="N337" s="343"/>
      <c r="O337" s="125"/>
      <c r="P337" s="115"/>
      <c r="Q337" s="126"/>
      <c r="R337" s="127"/>
      <c r="S337" s="85"/>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row>
    <row r="338" spans="1:64" ht="26.25" customHeight="1">
      <c r="A338" s="112"/>
      <c r="B338" s="113"/>
      <c r="C338" s="339"/>
      <c r="D338" s="115"/>
      <c r="E338" s="116"/>
      <c r="F338" s="115"/>
      <c r="G338" s="240"/>
      <c r="H338" s="308"/>
      <c r="I338" s="119"/>
      <c r="J338" s="120"/>
      <c r="K338" s="340"/>
      <c r="L338" s="344">
        <f>"Sign up for updates:  http://learn.actexpo.com/subscribe"</f>
        <v>0</v>
      </c>
      <c r="M338" s="344"/>
      <c r="N338" s="343"/>
      <c r="O338" s="125"/>
      <c r="P338" s="115"/>
      <c r="Q338" s="126"/>
      <c r="R338" s="127"/>
      <c r="S338" s="85"/>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row>
    <row r="339" spans="1:64" ht="21.75" customHeight="1">
      <c r="A339" s="112"/>
      <c r="B339" s="113"/>
      <c r="C339" s="339"/>
      <c r="D339" s="115"/>
      <c r="E339" s="116" t="s">
        <v>705</v>
      </c>
      <c r="F339" s="115"/>
      <c r="G339" s="240"/>
      <c r="H339" s="308"/>
      <c r="I339" s="119"/>
      <c r="J339" s="120"/>
      <c r="K339" s="340"/>
      <c r="L339" s="344">
        <f>"To get Brochure:  http://learn.actexpo.com/eventoverview"</f>
        <v>0</v>
      </c>
      <c r="M339" s="344"/>
      <c r="N339" s="345"/>
      <c r="O339" s="125"/>
      <c r="P339" s="115"/>
      <c r="Q339" s="126"/>
      <c r="R339" s="127"/>
      <c r="S339" s="85"/>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row>
    <row r="340" spans="1:64" ht="21.75" customHeight="1">
      <c r="A340" s="112"/>
      <c r="B340" s="113"/>
      <c r="C340" s="339"/>
      <c r="D340" s="115"/>
      <c r="E340" s="116"/>
      <c r="F340" s="115"/>
      <c r="G340" s="240"/>
      <c r="H340" s="308"/>
      <c r="I340" s="119"/>
      <c r="J340" s="120"/>
      <c r="K340" s="340"/>
      <c r="L340" s="344">
        <f>"Agenda:  https://www.actexpo.com/agenda"</f>
        <v>0</v>
      </c>
      <c r="M340" s="344"/>
      <c r="N340" s="343"/>
      <c r="O340" s="125"/>
      <c r="P340" s="115"/>
      <c r="Q340" s="126"/>
      <c r="R340" s="127"/>
      <c r="S340" s="85"/>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row>
    <row r="341" spans="1:64" ht="21.75" customHeight="1">
      <c r="A341" s="112"/>
      <c r="B341" s="113"/>
      <c r="C341" s="339"/>
      <c r="D341" s="115"/>
      <c r="E341" s="116"/>
      <c r="F341" s="115"/>
      <c r="G341" s="240"/>
      <c r="H341" s="308"/>
      <c r="I341" s="119"/>
      <c r="J341" s="120"/>
      <c r="K341" s="340"/>
      <c r="L341" s="344">
        <f>"Agenda Track:  https://www.actexpo.com/agenda-track"</f>
        <v>0</v>
      </c>
      <c r="M341" s="344"/>
      <c r="N341" s="345"/>
      <c r="O341" s="125"/>
      <c r="P341" s="115"/>
      <c r="Q341" s="126"/>
      <c r="R341" s="127"/>
      <c r="S341" s="85"/>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row>
    <row r="342" spans="1:64" ht="26.25" customHeight="1">
      <c r="A342" s="112"/>
      <c r="B342" s="113"/>
      <c r="C342" s="339"/>
      <c r="D342" s="115"/>
      <c r="E342" s="116" t="s">
        <v>706</v>
      </c>
      <c r="F342" s="115"/>
      <c r="G342" s="240"/>
      <c r="H342" s="308"/>
      <c r="I342" s="119"/>
      <c r="J342" s="120"/>
      <c r="K342" s="340"/>
      <c r="L342" s="344">
        <f>"Expo Hall:  https://www.actexpo.com/expohall"</f>
        <v>0</v>
      </c>
      <c r="M342" s="344"/>
      <c r="N342" s="342"/>
      <c r="O342" s="125"/>
      <c r="P342" s="115"/>
      <c r="Q342" s="126"/>
      <c r="R342" s="127"/>
      <c r="S342" s="85"/>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row>
    <row r="343" spans="1:64" ht="26.25" customHeight="1">
      <c r="A343" s="112"/>
      <c r="B343" s="113"/>
      <c r="C343" s="339"/>
      <c r="D343" s="115"/>
      <c r="E343" s="116"/>
      <c r="F343" s="115"/>
      <c r="G343" s="240"/>
      <c r="H343" s="308"/>
      <c r="I343" s="119"/>
      <c r="J343" s="120"/>
      <c r="K343" s="340"/>
      <c r="L343" s="344">
        <f>"Exhibitors&amp;rsquo; / Sponsors&amp;rsquo; info:  https://www.actexpo.com/sponsor-exhibit-why"</f>
        <v>0</v>
      </c>
      <c r="M343" s="344"/>
      <c r="N343" s="280"/>
      <c r="O343" s="125"/>
      <c r="P343" s="115"/>
      <c r="Q343" s="126"/>
      <c r="R343" s="127"/>
      <c r="S343" s="85"/>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row>
    <row r="344" spans="1:64" ht="52.5" customHeight="1">
      <c r="A344" s="112" t="s">
        <v>1239</v>
      </c>
      <c r="B344" s="113" t="s">
        <v>1240</v>
      </c>
      <c r="C344" s="143">
        <f>"https://driveworldexpo.com/"</f>
        <v>0</v>
      </c>
      <c r="D344" s="148" t="s">
        <v>1241</v>
      </c>
      <c r="E344" s="116" t="s">
        <v>1242</v>
      </c>
      <c r="F344" s="148" t="s">
        <v>1243</v>
      </c>
      <c r="G344" s="117" t="s">
        <v>1244</v>
      </c>
      <c r="H344" s="217" t="s">
        <v>643</v>
      </c>
      <c r="I344" s="215"/>
      <c r="J344" s="256"/>
      <c r="K344" s="439">
        <f>"Brochure:  https://findmanufacturingbuyers.com/sites/default/files/Electronics_Events.pdf"</f>
        <v>0</v>
      </c>
      <c r="L344" s="441">
        <f>"Exhibitors&amp;rsquo; info  https://driveworldexpo.com/become-an-exhibitor"</f>
        <v>0</v>
      </c>
      <c r="M344" s="401">
        <f>"colocated with Embedded Systems Conference (ESC)"</f>
        <v>0</v>
      </c>
      <c r="N344" s="442"/>
      <c r="O344" s="427" t="s">
        <v>1245</v>
      </c>
      <c r="P344" s="443">
        <f>"https://findmanufacturingbuyers.com/automotive"</f>
        <v>0</v>
      </c>
      <c r="Q344" s="126" t="s">
        <v>54</v>
      </c>
      <c r="R344" s="213" t="s">
        <v>55</v>
      </c>
      <c r="S344" s="85"/>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row>
    <row r="345" spans="1:64" s="86" customFormat="1" ht="42.75" customHeight="1">
      <c r="A345" s="102" t="s">
        <v>1246</v>
      </c>
      <c r="B345" s="88" t="s">
        <v>1247</v>
      </c>
      <c r="C345" s="89">
        <f>"https://thefutureofav.splashthat.com/"</f>
        <v>0</v>
      </c>
      <c r="D345" s="130"/>
      <c r="E345" s="91" t="s">
        <v>1248</v>
      </c>
      <c r="F345" s="130" t="s">
        <v>1249</v>
      </c>
      <c r="G345" s="104">
        <f>"We will unpack how AVs will affect our safety, our cities and our economy &amp;hellip;"</f>
        <v>0</v>
      </c>
      <c r="H345" s="132">
        <f>"&lt;b&gt;Seleta&amp;nbsp;Reynolds&lt;/b&gt;, Gen&amp;rsquo;l Mgr., Los Angeles Dep&amp;rsquo;t of&amp;nbsp;Transp."</f>
        <v>0</v>
      </c>
      <c r="I345" s="301"/>
      <c r="J345" s="198"/>
      <c r="K345" s="108"/>
      <c r="L345" s="96"/>
      <c r="M345" s="110"/>
      <c r="N345" s="146"/>
      <c r="O345" s="99"/>
      <c r="P345" s="130"/>
      <c r="Q345" s="100" t="s">
        <v>54</v>
      </c>
      <c r="R345" s="100" t="s">
        <v>55</v>
      </c>
      <c r="S345" s="354"/>
      <c r="T345" s="355"/>
      <c r="U345" s="355"/>
      <c r="V345" s="355"/>
      <c r="W345" s="355"/>
      <c r="X345" s="355"/>
      <c r="Y345" s="355"/>
      <c r="Z345" s="355"/>
      <c r="AA345" s="355"/>
      <c r="AB345" s="355"/>
      <c r="AC345" s="355"/>
      <c r="AD345" s="355"/>
      <c r="AE345" s="355"/>
      <c r="AF345" s="355"/>
      <c r="AG345" s="355"/>
      <c r="AH345" s="355"/>
      <c r="AI345" s="355"/>
      <c r="AJ345" s="355"/>
      <c r="AK345" s="355"/>
      <c r="AL345" s="355"/>
      <c r="AM345" s="355"/>
      <c r="AN345" s="355"/>
      <c r="AO345" s="355"/>
      <c r="AP345" s="355"/>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row>
    <row r="346" spans="1:64" s="86" customFormat="1" ht="51.75" customHeight="1">
      <c r="A346" s="102"/>
      <c r="B346" s="88"/>
      <c r="C346" s="89"/>
      <c r="D346" s="130"/>
      <c r="E346" s="91"/>
      <c r="F346" s="130"/>
      <c r="G346" s="104"/>
      <c r="H346" s="132">
        <f>"&lt;b&gt;Selika&amp;nbsp;Josiah&amp;nbsp;Talbott&lt;/b&gt;, Professorial Lecturer, Dep&amp;rsquo;t of Public Admin. and Policy, American&amp;nbsp;University"</f>
        <v>0</v>
      </c>
      <c r="I346" s="301"/>
      <c r="J346" s="198"/>
      <c r="K346" s="108"/>
      <c r="L346" s="96"/>
      <c r="M346" s="110"/>
      <c r="N346" s="146"/>
      <c r="O346" s="99"/>
      <c r="P346" s="130"/>
      <c r="Q346" s="100"/>
      <c r="R346" s="100"/>
      <c r="S346" s="354"/>
      <c r="T346" s="355"/>
      <c r="U346" s="355"/>
      <c r="V346" s="355"/>
      <c r="W346" s="355"/>
      <c r="X346" s="355"/>
      <c r="Y346" s="355"/>
      <c r="Z346" s="355"/>
      <c r="AA346" s="355"/>
      <c r="AB346" s="355"/>
      <c r="AC346" s="355"/>
      <c r="AD346" s="355"/>
      <c r="AE346" s="355"/>
      <c r="AF346" s="355"/>
      <c r="AG346" s="355"/>
      <c r="AH346" s="355"/>
      <c r="AI346" s="355"/>
      <c r="AJ346" s="355"/>
      <c r="AK346" s="355"/>
      <c r="AL346" s="355"/>
      <c r="AM346" s="355"/>
      <c r="AN346" s="355"/>
      <c r="AO346" s="355"/>
      <c r="AP346" s="355"/>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row>
    <row r="347" spans="1:64" s="86" customFormat="1" ht="28.5" customHeight="1">
      <c r="A347" s="102"/>
      <c r="B347" s="88"/>
      <c r="C347" s="89"/>
      <c r="D347" s="130"/>
      <c r="E347" s="91"/>
      <c r="F347" s="130"/>
      <c r="G347" s="104"/>
      <c r="H347" s="132">
        <f>"&lt;b&gt;Helen&amp;nbsp;Witty&lt;/b&gt;, National President, Mothers Against Drunk Driving"</f>
        <v>0</v>
      </c>
      <c r="I347" s="301"/>
      <c r="J347" s="198"/>
      <c r="K347" s="108"/>
      <c r="L347" s="96"/>
      <c r="M347" s="110"/>
      <c r="N347" s="146"/>
      <c r="O347" s="99"/>
      <c r="P347" s="130"/>
      <c r="Q347" s="100"/>
      <c r="R347" s="100"/>
      <c r="S347" s="354"/>
      <c r="T347" s="355"/>
      <c r="U347" s="355"/>
      <c r="V347" s="355"/>
      <c r="W347" s="355"/>
      <c r="X347" s="355"/>
      <c r="Y347" s="355"/>
      <c r="Z347" s="355"/>
      <c r="AA347" s="355"/>
      <c r="AB347" s="355"/>
      <c r="AC347" s="355"/>
      <c r="AD347" s="355"/>
      <c r="AE347" s="355"/>
      <c r="AF347" s="355"/>
      <c r="AG347" s="355"/>
      <c r="AH347" s="355"/>
      <c r="AI347" s="355"/>
      <c r="AJ347" s="355"/>
      <c r="AK347" s="355"/>
      <c r="AL347" s="355"/>
      <c r="AM347" s="355"/>
      <c r="AN347" s="355"/>
      <c r="AO347" s="355"/>
      <c r="AP347" s="355"/>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row>
    <row r="348" spans="1:64" s="86" customFormat="1" ht="39" customHeight="1">
      <c r="A348" s="102"/>
      <c r="B348" s="88"/>
      <c r="C348" s="89"/>
      <c r="D348" s="130"/>
      <c r="E348" s="91"/>
      <c r="F348" s="130"/>
      <c r="G348" s="104"/>
      <c r="H348" s="132">
        <f>"View from the Top segment hosted by:  &lt;b&gt;Jim&amp;nbsp;VandeHei&lt;/b&gt;, Axios Co-founder &amp; CEO, with &amp;hellip;"</f>
        <v>0</v>
      </c>
      <c r="I348" s="301"/>
      <c r="J348" s="198"/>
      <c r="K348" s="108"/>
      <c r="L348" s="96"/>
      <c r="M348" s="110"/>
      <c r="N348" s="146"/>
      <c r="O348" s="99"/>
      <c r="P348" s="130"/>
      <c r="Q348" s="100"/>
      <c r="R348" s="100"/>
      <c r="S348" s="354"/>
      <c r="T348" s="355"/>
      <c r="U348" s="355"/>
      <c r="V348" s="355"/>
      <c r="W348" s="355"/>
      <c r="X348" s="355"/>
      <c r="Y348" s="355"/>
      <c r="Z348" s="355"/>
      <c r="AA348" s="355"/>
      <c r="AB348" s="355"/>
      <c r="AC348" s="355"/>
      <c r="AD348" s="355"/>
      <c r="AE348" s="355"/>
      <c r="AF348" s="355"/>
      <c r="AG348" s="355"/>
      <c r="AH348" s="355"/>
      <c r="AI348" s="355"/>
      <c r="AJ348" s="355"/>
      <c r="AK348" s="355"/>
      <c r="AL348" s="355"/>
      <c r="AM348" s="355"/>
      <c r="AN348" s="355"/>
      <c r="AO348" s="355"/>
      <c r="AP348" s="355"/>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row>
    <row r="349" spans="1:64" s="86" customFormat="1" ht="39" customHeight="1">
      <c r="A349" s="102"/>
      <c r="B349" s="88"/>
      <c r="C349" s="89"/>
      <c r="D349" s="130"/>
      <c r="E349" s="91"/>
      <c r="F349" s="130"/>
      <c r="G349" s="104"/>
      <c r="H349" s="132">
        <f>"&lt;b&gt;Karl&amp;nbsp;Iagnemma&lt;/b&gt;, CEO, Auton. Driving Joint Venture betw. Hyundai Motor Group and Aptiv"</f>
        <v>0</v>
      </c>
      <c r="I349" s="301"/>
      <c r="J349" s="198"/>
      <c r="K349" s="108"/>
      <c r="L349" s="96"/>
      <c r="M349" s="110"/>
      <c r="N349" s="146"/>
      <c r="O349" s="99"/>
      <c r="P349" s="130"/>
      <c r="Q349" s="100"/>
      <c r="R349" s="100"/>
      <c r="S349" s="354"/>
      <c r="T349" s="355"/>
      <c r="U349" s="355"/>
      <c r="V349" s="355"/>
      <c r="W349" s="355"/>
      <c r="X349" s="355"/>
      <c r="Y349" s="355"/>
      <c r="Z349" s="355"/>
      <c r="AA349" s="355"/>
      <c r="AB349" s="355"/>
      <c r="AC349" s="355"/>
      <c r="AD349" s="355"/>
      <c r="AE349" s="355"/>
      <c r="AF349" s="355"/>
      <c r="AG349" s="355"/>
      <c r="AH349" s="355"/>
      <c r="AI349" s="355"/>
      <c r="AJ349" s="355"/>
      <c r="AK349" s="355"/>
      <c r="AL349" s="355"/>
      <c r="AM349" s="355"/>
      <c r="AN349" s="355"/>
      <c r="AO349" s="355"/>
      <c r="AP349" s="355"/>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row>
    <row r="350" spans="1:64" s="86" customFormat="1" ht="39.75" customHeight="1">
      <c r="A350" s="87" t="s">
        <v>1250</v>
      </c>
      <c r="B350" s="88" t="s">
        <v>1251</v>
      </c>
      <c r="C350" s="89">
        <f>"http://s609957852.t.en25.com/e/es?s=609957852&amp;e=47230&amp;elq=e467608f2930481387d936e5f61132ba&amp;elqaid=2952&amp;elqat=1&amp;elqTrackId=747cd804b3d344839b56bb8ee2f2eb05"</f>
        <v>0</v>
      </c>
      <c r="D350" s="130"/>
      <c r="E350" s="91" t="s">
        <v>1252</v>
      </c>
      <c r="F350" s="130" t="s">
        <v>1253</v>
      </c>
      <c r="G350" s="104">
        <f>"&amp;hellip; an interactive deep dive into the report&amp;rsquo;s key findings."</f>
        <v>0</v>
      </c>
      <c r="H350" s="132">
        <f>"&lt;b&gt;Brian&amp;nbsp;Cota&lt;/b&gt;, VP Sales for Nat&amp;nbsp;l Acc&amp;rsquo;ts, Daimler Trucks NA"</f>
        <v>0</v>
      </c>
      <c r="I350" s="301"/>
      <c r="J350" s="198"/>
      <c r="K350" s="108">
        <f>"Sign up for the Report and for Updates:  https://www.stateofsustainablefleets.com/"</f>
        <v>0</v>
      </c>
      <c r="L350" s="96">
        <f>"Registration:  https://www.stateofsustainablefleets.com/part-1-state-of-sustainable-fleets-executive-panel/"</f>
        <v>0</v>
      </c>
      <c r="M350" s="110"/>
      <c r="N350" s="146"/>
      <c r="O350" s="99" t="s">
        <v>1254</v>
      </c>
      <c r="P350" s="130">
        <f>"https://www.stateofsustainablefleets.com/"</f>
        <v>0</v>
      </c>
      <c r="Q350" s="100" t="s">
        <v>54</v>
      </c>
      <c r="R350" s="128" t="s">
        <v>55</v>
      </c>
      <c r="S350" s="85"/>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row>
    <row r="351" spans="1:64" s="86" customFormat="1" ht="40.5" customHeight="1">
      <c r="A351" s="87"/>
      <c r="B351" s="88"/>
      <c r="C351" s="89"/>
      <c r="D351" s="130"/>
      <c r="E351" s="91"/>
      <c r="F351" s="130"/>
      <c r="G351" s="104"/>
      <c r="H351" s="132">
        <f>"&lt;b&gt;Drew&amp;nbsp;Cullen&lt;/b&gt;, Sr. VP, Fuels and Facility Services, Penske Transp. Solutions"</f>
        <v>0</v>
      </c>
      <c r="I351" s="301"/>
      <c r="J351" s="198"/>
      <c r="K351" s="108"/>
      <c r="L351" s="96"/>
      <c r="M351" s="110"/>
      <c r="N351" s="146"/>
      <c r="O351" s="99"/>
      <c r="P351" s="130"/>
      <c r="Q351" s="100"/>
      <c r="R351" s="128"/>
      <c r="S351" s="85"/>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row>
    <row r="352" spans="1:64" s="86" customFormat="1" ht="28.5" customHeight="1">
      <c r="A352" s="87"/>
      <c r="B352" s="88"/>
      <c r="C352" s="89"/>
      <c r="D352" s="130"/>
      <c r="E352" s="91"/>
      <c r="F352" s="130"/>
      <c r="G352" s="104"/>
      <c r="H352" s="132">
        <f>"&lt;b&gt;Giorgio&amp;nbsp;Delpiano&lt;/b&gt;, VP, Fleet Solutions,  Shell Oil Comp. "</f>
        <v>0</v>
      </c>
      <c r="I352" s="301"/>
      <c r="J352" s="198"/>
      <c r="K352" s="108"/>
      <c r="L352" s="96"/>
      <c r="M352" s="110"/>
      <c r="N352" s="146"/>
      <c r="O352" s="99"/>
      <c r="P352" s="130"/>
      <c r="Q352" s="100"/>
      <c r="R352" s="128"/>
      <c r="S352" s="85"/>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row>
    <row r="353" spans="1:64" s="86" customFormat="1" ht="39" customHeight="1">
      <c r="A353" s="87"/>
      <c r="B353" s="88"/>
      <c r="C353" s="89"/>
      <c r="D353" s="130"/>
      <c r="E353" s="91"/>
      <c r="F353" s="130"/>
      <c r="G353" s="104"/>
      <c r="H353" s="132">
        <f>"moderated by &lt;b&gt;Erik&amp;nbsp;Neandross&lt;/b&gt;, CEO, Gladstein, Neandross, &amp; Assoc. (GNA)"</f>
        <v>0</v>
      </c>
      <c r="I353" s="301"/>
      <c r="J353" s="198"/>
      <c r="K353" s="108">
        <f>"mailto:info@stateofsustainablefleets.com"</f>
        <v>0</v>
      </c>
      <c r="L353" s="96"/>
      <c r="M353" s="110"/>
      <c r="N353" s="146"/>
      <c r="O353" s="99"/>
      <c r="P353" s="130"/>
      <c r="Q353" s="100"/>
      <c r="R353" s="128"/>
      <c r="S353" s="85"/>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row>
    <row r="354" spans="1:64" s="86" customFormat="1" ht="44.25" customHeight="1">
      <c r="A354" s="87" t="s">
        <v>1255</v>
      </c>
      <c r="B354" s="88" t="s">
        <v>1256</v>
      </c>
      <c r="C354" s="89">
        <f>"https://www.evtechexpo.com/en/expo/digital-express.html"</f>
        <v>0</v>
      </c>
      <c r="D354" s="130" t="s">
        <v>657</v>
      </c>
      <c r="E354" s="91" t="s">
        <v>1257</v>
      </c>
      <c r="F354" s="130" t="s">
        <v>1258</v>
      </c>
      <c r="G354" s="160">
        <f>"&amp;hellip; a full day &amp;hellip; virtual event bringing together the advanced battery manufacturing industry to digitally source, connect, and learn."</f>
        <v>0</v>
      </c>
      <c r="H354" s="132"/>
      <c r="I354" s="301"/>
      <c r="J354" s="198"/>
      <c r="K354" s="134">
        <f>"https://evtechexpo.com/contact-hybrid"</f>
        <v>0</v>
      </c>
      <c r="L354" s="159">
        <f>"Registration information:  http://app.ubmamgevents.com/e/es?s=949606000&amp;e=294882&amp;elqTrackId=DC7FCA8B263C8E85064C08A788820AF8&amp;elq=5a9bc5a84e0140beba1b8a92aad8ef2a&amp;elqaid=13979&amp;elqat=1"</f>
        <v>0</v>
      </c>
      <c r="M354" s="110" t="s">
        <v>1259</v>
      </c>
      <c r="N354" s="146"/>
      <c r="O354" s="99" t="s">
        <v>1260</v>
      </c>
      <c r="P354" s="130">
        <f>"https://findmanufacturingbuyers.com/"</f>
        <v>0</v>
      </c>
      <c r="Q354" s="100" t="s">
        <v>54</v>
      </c>
      <c r="R354" s="128" t="s">
        <v>55</v>
      </c>
      <c r="S354" s="85"/>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row>
    <row r="355" spans="1:64" s="86" customFormat="1" ht="53.25" customHeight="1">
      <c r="A355" s="87"/>
      <c r="B355" s="88"/>
      <c r="C355" s="89">
        <f>"Alt link:  https://www.thebatteryshow.com/en/expo-battery/digital-express.html"</f>
        <v>0</v>
      </c>
      <c r="D355" s="130"/>
      <c r="E355" s="91"/>
      <c r="F355" s="130"/>
      <c r="G355" s="160"/>
      <c r="H355" s="132"/>
      <c r="I355" s="301"/>
      <c r="J355" s="198"/>
      <c r="K355" s="134"/>
      <c r="L355" s="159"/>
      <c r="M355" s="110"/>
      <c r="N355" s="146"/>
      <c r="O355" s="99"/>
      <c r="P355" s="130"/>
      <c r="Q355" s="100"/>
      <c r="R355" s="128"/>
      <c r="S355" s="85"/>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row>
    <row r="356" spans="1:64" s="86" customFormat="1" ht="33" customHeight="1">
      <c r="A356" s="87" t="s">
        <v>1261</v>
      </c>
      <c r="B356" s="88" t="s">
        <v>1262</v>
      </c>
      <c r="C356" s="89">
        <f>"http://s609957852.t.en25.com/e/es?s=609957852&amp;e=47230&amp;elq=e467608f2930481387d936e5f61132ba&amp;elqaid=2952&amp;elqat=1&amp;elqTrackId=747cd804b3d344839b56bb8ee2f2eb05"</f>
        <v>0</v>
      </c>
      <c r="D356" s="130"/>
      <c r="E356" s="91" t="s">
        <v>1263</v>
      </c>
      <c r="F356" s="130" t="s">
        <v>1264</v>
      </c>
      <c r="G356" s="104">
        <f>"&amp;hellip; examine how these industry leaders are adopting clean and sustainable vehicle technology in a COVID-19 world. "</f>
        <v>0</v>
      </c>
      <c r="H356" s="132">
        <f>"&lt;b&gt;Carlton&amp;nbsp;Rose&lt;/b&gt;, Pres., Global Fleet Maint. and Eng., UPS"</f>
        <v>0</v>
      </c>
      <c r="I356" s="301"/>
      <c r="J356" s="198"/>
      <c r="K356" s="108">
        <f>"Sign up for the Report and for Updates:  https://www.stateofsustainablefleets.com/"</f>
        <v>0</v>
      </c>
      <c r="L356" s="96">
        <f>"Registration:  https://www.stateofsustainablefleets.com/part-2-state-of-sustainable-fleets-in-a-covid-19-world/"</f>
        <v>0</v>
      </c>
      <c r="M356" s="110"/>
      <c r="N356" s="146"/>
      <c r="O356" s="99" t="s">
        <v>1254</v>
      </c>
      <c r="P356" s="130">
        <f>"https://www.stateofsustainablefleets.com/"</f>
        <v>0</v>
      </c>
      <c r="Q356" s="100" t="s">
        <v>54</v>
      </c>
      <c r="R356" s="128" t="s">
        <v>55</v>
      </c>
      <c r="S356" s="85"/>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row>
    <row r="357" spans="1:64" s="86" customFormat="1" ht="40.5" customHeight="1">
      <c r="A357" s="87"/>
      <c r="B357" s="88"/>
      <c r="C357" s="89"/>
      <c r="D357" s="130"/>
      <c r="E357" s="91"/>
      <c r="F357" s="130"/>
      <c r="G357" s="104"/>
      <c r="H357" s="132">
        <f>"&lt;b&gt;James Cade Vice President, Fleet Services  Ruan Transportation"</f>
        <v>0</v>
      </c>
      <c r="I357" s="301"/>
      <c r="J357" s="198"/>
      <c r="K357" s="108"/>
      <c r="L357" s="96"/>
      <c r="M357" s="110"/>
      <c r="N357" s="146"/>
      <c r="O357" s="99"/>
      <c r="P357" s="130"/>
      <c r="Q357" s="100"/>
      <c r="R357" s="128"/>
      <c r="S357" s="85"/>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row>
    <row r="358" spans="1:64" s="86" customFormat="1" ht="38.25" customHeight="1">
      <c r="A358" s="87"/>
      <c r="B358" s="88"/>
      <c r="C358" s="89"/>
      <c r="D358" s="130"/>
      <c r="E358" s="91"/>
      <c r="F358" s="130"/>
      <c r="G358" s="104"/>
      <c r="H358" s="132">
        <f>"&lt;b&gt;Darryl&amp;nbsp;Spencer&lt;/b&gt; Sr. Assistant VP, Engineering  Dallas Area Rapid Transit (DART) "</f>
        <v>0</v>
      </c>
      <c r="I358" s="301"/>
      <c r="J358" s="198"/>
      <c r="K358" s="108"/>
      <c r="L358" s="96"/>
      <c r="M358" s="110"/>
      <c r="N358" s="146"/>
      <c r="O358" s="99"/>
      <c r="P358" s="130"/>
      <c r="Q358" s="100"/>
      <c r="R358" s="128"/>
      <c r="S358" s="85"/>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row>
    <row r="359" spans="1:64" s="86" customFormat="1" ht="37.5" customHeight="1">
      <c r="A359" s="87"/>
      <c r="B359" s="88"/>
      <c r="C359" s="89"/>
      <c r="D359" s="130"/>
      <c r="E359" s="91"/>
      <c r="F359" s="130"/>
      <c r="G359" s="104"/>
      <c r="H359" s="132">
        <f>"moderated by &lt;b&gt;Drew&amp;nbsp;Cullen&lt;/b&gt;, Sr. VP, Fuels and Facility Services, Penske Transp. Solutions"</f>
        <v>0</v>
      </c>
      <c r="I359" s="301"/>
      <c r="J359" s="198"/>
      <c r="K359" s="108">
        <f>"mailto:info@stateofsustainablefleets.com"</f>
        <v>0</v>
      </c>
      <c r="L359" s="96"/>
      <c r="M359" s="110"/>
      <c r="N359" s="146"/>
      <c r="O359" s="99"/>
      <c r="P359" s="130"/>
      <c r="Q359" s="100"/>
      <c r="R359" s="128"/>
      <c r="S359" s="85"/>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row>
    <row r="360" spans="1:64" ht="25.5" customHeight="1">
      <c r="A360" s="147" t="s">
        <v>1196</v>
      </c>
      <c r="B360" s="113" t="s">
        <v>1265</v>
      </c>
      <c r="C360" s="143">
        <f>"https://www.sae.org/learn/content/c1602/"</f>
        <v>0</v>
      </c>
      <c r="D360" s="148" t="s">
        <v>552</v>
      </c>
      <c r="E360" s="116" t="s">
        <v>1266</v>
      </c>
      <c r="F360" s="148" t="s">
        <v>1199</v>
      </c>
      <c r="G360" s="117" t="s">
        <v>1200</v>
      </c>
      <c r="H360" s="217">
        <f>"Instructor:  Eric Timmis"</f>
        <v>0</v>
      </c>
      <c r="I360" s="119"/>
      <c r="J360" s="275"/>
      <c r="K360" s="241"/>
      <c r="L360" s="212" t="s">
        <v>458</v>
      </c>
      <c r="M360" s="123" t="s">
        <v>459</v>
      </c>
      <c r="N360" s="155"/>
      <c r="O360" s="125" t="s">
        <v>396</v>
      </c>
      <c r="P360" s="148">
        <f>"https://www.sae.org/learn/professional-development"</f>
        <v>0</v>
      </c>
      <c r="Q360" s="126" t="s">
        <v>54</v>
      </c>
      <c r="R360" s="213" t="s">
        <v>55</v>
      </c>
      <c r="S360" s="85"/>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row>
    <row r="361" spans="1:64" ht="25.5" customHeight="1">
      <c r="A361" s="147"/>
      <c r="B361" s="113"/>
      <c r="C361" s="143"/>
      <c r="D361" s="148"/>
      <c r="E361" s="116"/>
      <c r="F361" s="148"/>
      <c r="G361" s="117"/>
      <c r="H361" s="217" t="s">
        <v>1267</v>
      </c>
      <c r="I361" s="119"/>
      <c r="J361" s="275"/>
      <c r="K361" s="241"/>
      <c r="L361" s="212"/>
      <c r="M361" s="123"/>
      <c r="N361" s="155"/>
      <c r="O361" s="125"/>
      <c r="P361" s="148"/>
      <c r="Q361" s="126"/>
      <c r="R361" s="213"/>
      <c r="S361" s="85"/>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row>
    <row r="362" spans="1:64" ht="76.5" customHeight="1">
      <c r="A362" s="112" t="s">
        <v>1268</v>
      </c>
      <c r="B362" s="113" t="s">
        <v>1269</v>
      </c>
      <c r="C362" s="143">
        <f>"http://ismb17.org/"</f>
        <v>0</v>
      </c>
      <c r="D362" s="148" t="s">
        <v>1270</v>
      </c>
      <c r="E362" s="116" t="s">
        <v>1271</v>
      </c>
      <c r="F362" s="148" t="s">
        <v>1272</v>
      </c>
      <c r="G362" s="117"/>
      <c r="H362" s="217">
        <f>"Exhibitors:  http://ismb17.org/exhibition/"</f>
        <v>0</v>
      </c>
      <c r="I362" s="215"/>
      <c r="J362" s="275"/>
      <c r="K362" s="121"/>
      <c r="L362" s="261">
        <f>"http://ismb17.org/abstract-submission/"</f>
        <v>0</v>
      </c>
      <c r="M362" s="237">
        <f>"login:  https://www.easychair.org/conferences/?conf=ismb17"</f>
        <v>0</v>
      </c>
      <c r="N362" s="238" t="s">
        <v>1273</v>
      </c>
      <c r="O362" s="125" t="s">
        <v>252</v>
      </c>
      <c r="P362" s="148" t="s">
        <v>253</v>
      </c>
      <c r="Q362" s="126" t="s">
        <v>54</v>
      </c>
      <c r="R362" s="213" t="s">
        <v>55</v>
      </c>
      <c r="S362" s="85"/>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row>
    <row r="363" spans="1:64" s="86" customFormat="1" ht="51" customHeight="1">
      <c r="A363" s="87" t="s">
        <v>807</v>
      </c>
      <c r="B363" s="90" t="s">
        <v>808</v>
      </c>
      <c r="C363" s="90">
        <f>"https://automotive.knect365.com/tu-automotive-awards/"</f>
        <v>0</v>
      </c>
      <c r="D363" s="90" t="s">
        <v>809</v>
      </c>
      <c r="E363" s="91" t="s">
        <v>1274</v>
      </c>
      <c r="F363" s="90"/>
      <c r="G363" s="104" t="s">
        <v>811</v>
      </c>
      <c r="H363" s="201"/>
      <c r="I363" s="318"/>
      <c r="J363" s="133"/>
      <c r="K363" s="319"/>
      <c r="L363" s="362" t="s">
        <v>812</v>
      </c>
      <c r="M363" s="183"/>
      <c r="N363" s="183"/>
      <c r="O363" s="359" t="s">
        <v>53</v>
      </c>
      <c r="P363" s="90" t="s">
        <v>364</v>
      </c>
      <c r="Q363" s="360" t="s">
        <v>54</v>
      </c>
      <c r="R363" s="254" t="s">
        <v>55</v>
      </c>
      <c r="S363" s="85"/>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row>
    <row r="364" spans="1:64" s="86" customFormat="1" ht="42.75" customHeight="1">
      <c r="A364" s="397" t="s">
        <v>813</v>
      </c>
      <c r="B364" s="321" t="s">
        <v>814</v>
      </c>
      <c r="C364" s="322">
        <f>"https://automotive.knect365.com/tu-auto-detroit/"</f>
        <v>0</v>
      </c>
      <c r="D364" s="90"/>
      <c r="E364" s="324" t="s">
        <v>1275</v>
      </c>
      <c r="F364" s="323" t="s">
        <v>816</v>
      </c>
      <c r="G364" s="325" t="s">
        <v>817</v>
      </c>
      <c r="H364" s="326">
        <f>"Sponsors &amp; Exhibitors:  https://automotive.knect365.com/tu-auto-detroit/sponsors"</f>
        <v>0</v>
      </c>
      <c r="I364" s="106"/>
      <c r="J364" s="198"/>
      <c r="K364" s="134">
        <f>"https://automotive.knect365.com/tu-auto-detroit/contact"</f>
        <v>0</v>
      </c>
      <c r="L364" s="159" t="s">
        <v>818</v>
      </c>
      <c r="M364" s="110">
        <f>"https://tr.informabi.com/tu-automotive-detroit-apply-speak?code=website-homepage"</f>
        <v>0</v>
      </c>
      <c r="N364" s="146" t="s">
        <v>819</v>
      </c>
      <c r="O364" s="359"/>
      <c r="P364" s="90"/>
      <c r="Q364" s="302" t="s">
        <v>365</v>
      </c>
      <c r="R364" s="333" t="s">
        <v>55</v>
      </c>
      <c r="S364" s="85"/>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row>
    <row r="365" spans="1:64" ht="41.25" customHeight="1">
      <c r="A365" s="397"/>
      <c r="B365" s="321"/>
      <c r="C365" s="322"/>
      <c r="D365" s="90"/>
      <c r="E365" s="324"/>
      <c r="F365" s="324"/>
      <c r="G365" s="444" t="s">
        <v>1276</v>
      </c>
      <c r="H365" s="326">
        <f>"Order the Brochure:  https://tr.informabi.com/tu-detroit-brochure"</f>
        <v>0</v>
      </c>
      <c r="I365" s="106"/>
      <c r="J365" s="198"/>
      <c r="K365" s="134"/>
      <c r="L365" s="159"/>
      <c r="M365" s="110"/>
      <c r="N365" s="146"/>
      <c r="O365" s="359"/>
      <c r="P365" s="90"/>
      <c r="Q365" s="302"/>
      <c r="R365" s="333"/>
      <c r="S365" s="85"/>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row>
    <row r="366" spans="1:19" s="86" customFormat="1" ht="29.25" customHeight="1">
      <c r="A366" s="87" t="s">
        <v>1277</v>
      </c>
      <c r="B366" s="88" t="s">
        <v>1278</v>
      </c>
      <c r="C366" s="89">
        <f>"https://www.act-news.com/webinar/save-with-pge-ev-business-rates/"</f>
        <v>0</v>
      </c>
      <c r="D366" s="130"/>
      <c r="E366" s="91" t="s">
        <v>1279</v>
      </c>
      <c r="F366" s="130" t="s">
        <v>1280</v>
      </c>
      <c r="G366" s="104">
        <f>"The new Business EV rate plans help fleets meet their EV charging needs while keeping energy costs competitive to traditional fuels."</f>
        <v>0</v>
      </c>
      <c r="H366" s="132">
        <f>"&lt;b&gt;Tim&amp;nbsp;O&amp;rsquo;Neill&lt;/b&gt;, EV Fleet Specialist, PG&amp;E"</f>
        <v>0</v>
      </c>
      <c r="I366" s="301"/>
      <c r="J366" s="198"/>
      <c r="K366" s="302"/>
      <c r="L366" s="109">
        <f>"registration:   http://subscribe.act-news.com/PGE_Webinar_Aug19_Registration"</f>
        <v>0</v>
      </c>
      <c r="M366" s="109"/>
      <c r="N366" s="303"/>
      <c r="O366" s="99" t="s">
        <v>1281</v>
      </c>
      <c r="P366" s="130">
        <f>"https://www.ACT-News.com/webinars/"</f>
        <v>0</v>
      </c>
      <c r="Q366" s="100" t="s">
        <v>54</v>
      </c>
      <c r="R366" s="128" t="s">
        <v>55</v>
      </c>
      <c r="S366" s="141"/>
    </row>
    <row r="367" spans="1:19" s="86" customFormat="1" ht="29.25" customHeight="1">
      <c r="A367" s="87"/>
      <c r="B367" s="88"/>
      <c r="C367" s="89"/>
      <c r="D367" s="130"/>
      <c r="E367" s="91"/>
      <c r="F367" s="130"/>
      <c r="G367" s="104"/>
      <c r="H367" s="132">
        <f>"&lt;b&gt;Shahin&amp;nbsp;Firoozmand&lt;/b&gt;, Project Manager,  PG&amp;E"</f>
        <v>0</v>
      </c>
      <c r="I367" s="301"/>
      <c r="J367" s="198"/>
      <c r="K367" s="302"/>
      <c r="L367" s="109"/>
      <c r="M367" s="109"/>
      <c r="N367" s="303"/>
      <c r="O367" s="99"/>
      <c r="P367" s="130"/>
      <c r="Q367" s="100"/>
      <c r="R367" s="128"/>
      <c r="S367" s="141"/>
    </row>
    <row r="368" spans="1:19" s="86" customFormat="1" ht="29.25" customHeight="1">
      <c r="A368" s="87"/>
      <c r="B368" s="88"/>
      <c r="C368" s="89"/>
      <c r="D368" s="130"/>
      <c r="E368" s="91"/>
      <c r="F368" s="130"/>
      <c r="G368" s="104"/>
      <c r="H368" s="132">
        <f>"and &lt;b&gt;Darla&amp;nbsp;Smith&lt;/b&gt;, Facilities Superintendent, San Joaquin Transit Distr."</f>
        <v>0</v>
      </c>
      <c r="I368" s="301"/>
      <c r="J368" s="198"/>
      <c r="K368" s="302"/>
      <c r="L368" s="109"/>
      <c r="M368" s="109"/>
      <c r="N368" s="303"/>
      <c r="O368" s="99"/>
      <c r="P368" s="130"/>
      <c r="Q368" s="100"/>
      <c r="R368" s="128"/>
      <c r="S368" s="141"/>
    </row>
    <row r="369" spans="1:19" s="86" customFormat="1" ht="63" customHeight="1">
      <c r="A369" s="87" t="s">
        <v>1282</v>
      </c>
      <c r="B369" s="88" t="s">
        <v>1283</v>
      </c>
      <c r="C369" s="89">
        <f>"https://register.gotowebinar.com/register/1116435718671518733"</f>
        <v>0</v>
      </c>
      <c r="D369" s="183"/>
      <c r="E369" s="91" t="s">
        <v>1284</v>
      </c>
      <c r="F369" s="183" t="s">
        <v>1285</v>
      </c>
      <c r="G369" s="104">
        <f>"&amp;hellip; technology challenges still exist in larger scale &amp;hellip; commercial applications such as package delivery drones or passenger flying taxis."</f>
        <v>0</v>
      </c>
      <c r="H369" s="132">
        <f>"&lt;b&gt;Yue&amp;nbsp;Cao&lt;/b&gt;, Ass&amp;rsquo;t Prof. (power &amp; energy), Oregon State"</f>
        <v>0</v>
      </c>
      <c r="I369" s="135"/>
      <c r="J369" s="133"/>
      <c r="K369" s="307"/>
      <c r="L369" s="109"/>
      <c r="M369" s="109"/>
      <c r="N369" s="303"/>
      <c r="O369" s="99" t="s">
        <v>103</v>
      </c>
      <c r="P369" s="183" t="s">
        <v>104</v>
      </c>
      <c r="Q369" s="100" t="s">
        <v>54</v>
      </c>
      <c r="R369" s="128" t="s">
        <v>55</v>
      </c>
      <c r="S369" s="141"/>
    </row>
    <row r="370" spans="1:64" s="86" customFormat="1" ht="39.75" customHeight="1">
      <c r="A370" s="87" t="s">
        <v>522</v>
      </c>
      <c r="B370" s="88" t="s">
        <v>523</v>
      </c>
      <c r="C370" s="89">
        <f>"https://2020.ieeesyscon.org/"</f>
        <v>0</v>
      </c>
      <c r="D370" s="130" t="s">
        <v>1286</v>
      </c>
      <c r="E370" s="91" t="s">
        <v>1287</v>
      </c>
      <c r="F370" s="130" t="s">
        <v>526</v>
      </c>
      <c r="G370" s="306" t="s">
        <v>527</v>
      </c>
      <c r="H370" s="445"/>
      <c r="I370" s="106"/>
      <c r="J370" s="198"/>
      <c r="K370" s="134"/>
      <c r="L370" s="446" t="s">
        <v>1288</v>
      </c>
      <c r="M370" s="110">
        <f>"https://edas.info/N26504"</f>
        <v>0</v>
      </c>
      <c r="N370" s="98" t="s">
        <v>1289</v>
      </c>
      <c r="O370" s="99" t="s">
        <v>531</v>
      </c>
      <c r="P370" s="130">
        <f>"https://ieeesystemscouncil.org/pages/conferences"</f>
        <v>0</v>
      </c>
      <c r="Q370" s="100" t="s">
        <v>54</v>
      </c>
      <c r="R370" s="128" t="s">
        <v>55</v>
      </c>
      <c r="S370" s="85"/>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row>
    <row r="371" spans="1:64" s="86" customFormat="1" ht="50.25" customHeight="1">
      <c r="A371" s="87"/>
      <c r="B371" s="88"/>
      <c r="C371" s="89"/>
      <c r="D371" s="130"/>
      <c r="E371" s="91"/>
      <c r="F371" s="130"/>
      <c r="G371" s="306"/>
      <c r="H371" s="445"/>
      <c r="I371" s="106"/>
      <c r="J371" s="198"/>
      <c r="K371" s="134"/>
      <c r="L371" s="447" t="s">
        <v>532</v>
      </c>
      <c r="M371" s="173">
        <f>"Submission questions:  Shelby Lussier mailto:slussier@conferencecatalysts.com"</f>
        <v>0</v>
      </c>
      <c r="N371" s="98" t="s">
        <v>1290</v>
      </c>
      <c r="O371" s="99"/>
      <c r="P371" s="130"/>
      <c r="Q371" s="100"/>
      <c r="R371" s="128"/>
      <c r="S371" s="85"/>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row>
    <row r="372" spans="1:64" s="86" customFormat="1" ht="44.25" customHeight="1">
      <c r="A372" s="129" t="s">
        <v>1291</v>
      </c>
      <c r="B372" s="88" t="s">
        <v>1292</v>
      </c>
      <c r="C372" s="89">
        <f>"https://www.intertraffic.com/webinars/"</f>
        <v>0</v>
      </c>
      <c r="D372" s="183"/>
      <c r="E372" s="91" t="s">
        <v>1293</v>
      </c>
      <c r="F372" s="130" t="s">
        <v>1294</v>
      </c>
      <c r="G372" s="104">
        <f>"Smart technologies play a vital role in transforming and optimising road safety."</f>
        <v>0</v>
      </c>
      <c r="H372" s="365" t="s">
        <v>1295</v>
      </c>
      <c r="I372" s="106"/>
      <c r="J372" s="198"/>
      <c r="K372" s="134"/>
      <c r="L372" s="448">
        <f>"Registration:  https://registration.gesevent.com/survey/1vtbxn6bjq4ct/register?"</f>
        <v>0</v>
      </c>
      <c r="M372" s="110"/>
      <c r="N372" s="98"/>
      <c r="O372" s="99" t="s">
        <v>1296</v>
      </c>
      <c r="P372" s="130">
        <f>"https://www.intertraffic.com/webinars/"</f>
        <v>0</v>
      </c>
      <c r="Q372" s="100" t="s">
        <v>900</v>
      </c>
      <c r="R372" s="128" t="s">
        <v>55</v>
      </c>
      <c r="S372" s="85"/>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row>
    <row r="373" spans="1:64" ht="39.75" customHeight="1">
      <c r="A373" s="129"/>
      <c r="B373" s="88"/>
      <c r="C373" s="143">
        <f>"Specific link:  https://www.intertraffic.com/webinars/?utm_term=ITAW400004&amp;utm_content=ITD2020_NB_08_A_EN_&amp;utm_medium=email&amp;utm_campaign=Nieuwsbrieven_2020&amp;utm_source=RE_emailmarketing&amp;tid=TIDP2167463X0FA9DADAE4624B6C98CE1D22C37DC138YI2&amp;actioncode=ITAW400"</f>
        <v>0</v>
      </c>
      <c r="D373" s="143"/>
      <c r="E373" s="91"/>
      <c r="F373" s="130"/>
      <c r="G373" s="104"/>
      <c r="H373" s="365" t="s">
        <v>1297</v>
      </c>
      <c r="I373" s="106"/>
      <c r="J373" s="198"/>
      <c r="K373" s="134"/>
      <c r="L373" s="448"/>
      <c r="M373" s="110"/>
      <c r="N373" s="98"/>
      <c r="O373" s="99"/>
      <c r="P373" s="130"/>
      <c r="Q373" s="100"/>
      <c r="R373" s="100"/>
      <c r="S373" s="85"/>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row>
    <row r="374" spans="1:64" ht="39.75" customHeight="1">
      <c r="A374" s="129"/>
      <c r="B374" s="88"/>
      <c r="C374" s="143"/>
      <c r="D374" s="143"/>
      <c r="E374" s="91"/>
      <c r="F374" s="130"/>
      <c r="G374" s="104"/>
      <c r="H374" s="365" t="s">
        <v>1298</v>
      </c>
      <c r="I374" s="106"/>
      <c r="J374" s="198"/>
      <c r="K374" s="134"/>
      <c r="L374" s="448"/>
      <c r="M374" s="110"/>
      <c r="N374" s="98"/>
      <c r="O374" s="99"/>
      <c r="P374" s="130"/>
      <c r="Q374" s="100"/>
      <c r="R374" s="100"/>
      <c r="S374" s="85"/>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row>
    <row r="375" spans="1:64" ht="39.75" customHeight="1">
      <c r="A375" s="129"/>
      <c r="B375" s="88"/>
      <c r="C375" s="143"/>
      <c r="D375" s="143"/>
      <c r="E375" s="91"/>
      <c r="F375" s="130"/>
      <c r="G375" s="104"/>
      <c r="H375" s="365" t="s">
        <v>1299</v>
      </c>
      <c r="I375" s="106"/>
      <c r="J375" s="198"/>
      <c r="K375" s="134"/>
      <c r="L375" s="448"/>
      <c r="M375" s="110"/>
      <c r="N375" s="98"/>
      <c r="O375" s="99"/>
      <c r="P375" s="130"/>
      <c r="Q375" s="100"/>
      <c r="R375" s="100"/>
      <c r="S375" s="85"/>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row>
    <row r="376" spans="1:64" ht="36" customHeight="1">
      <c r="A376" s="87" t="s">
        <v>1300</v>
      </c>
      <c r="B376" s="88" t="s">
        <v>1301</v>
      </c>
      <c r="C376" s="89">
        <f>"https://propulsionenergy.aiaa.org/"</f>
        <v>0</v>
      </c>
      <c r="D376" s="130" t="s">
        <v>1302</v>
      </c>
      <c r="E376" s="91" t="s">
        <v>1303</v>
      </c>
      <c r="F376" s="130" t="s">
        <v>1304</v>
      </c>
      <c r="G376" s="306" t="s">
        <v>1305</v>
      </c>
      <c r="H376" s="365"/>
      <c r="I376" s="135"/>
      <c r="J376" s="107"/>
      <c r="K376" s="108">
        <f>"https://www.aiaa.org/contact"</f>
        <v>0</v>
      </c>
      <c r="L376" s="154">
        <f>"https://propulsionenergy.aiaa.org/CallForPapers/"</f>
        <v>0</v>
      </c>
      <c r="M376" s="123"/>
      <c r="N376" s="146">
        <f>"abstracts due:  2020/02/11 20:00"</f>
        <v>0</v>
      </c>
      <c r="O376" s="359" t="s">
        <v>854</v>
      </c>
      <c r="P376" s="130" t="s">
        <v>1306</v>
      </c>
      <c r="Q376" s="360" t="s">
        <v>54</v>
      </c>
      <c r="R376" s="254" t="s">
        <v>55</v>
      </c>
      <c r="S376" s="85"/>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row>
    <row r="377" spans="1:64" ht="36" customHeight="1">
      <c r="A377" s="87" t="s">
        <v>1307</v>
      </c>
      <c r="B377" s="88"/>
      <c r="C377" s="89" t="s">
        <v>1308</v>
      </c>
      <c r="D377" s="130"/>
      <c r="E377" s="91" t="s">
        <v>1309</v>
      </c>
      <c r="F377" s="130"/>
      <c r="G377" s="240" t="s">
        <v>1310</v>
      </c>
      <c r="H377" s="365"/>
      <c r="I377" s="135">
        <f>"E-mail alerts:  http://aiaa.informz.net/AIAA/profile.asp?fid=3290"</f>
        <v>0</v>
      </c>
      <c r="J377" s="135"/>
      <c r="K377" s="135"/>
      <c r="L377" s="145">
        <f>"Abstract Submission Process &amp; Requirements:  https://www.aiaa.org/propulsionenergy/presentations-papers/call-for-papers/info"</f>
        <v>0</v>
      </c>
      <c r="M377" s="123"/>
      <c r="N377" s="146"/>
      <c r="O377" s="359"/>
      <c r="P377" s="130"/>
      <c r="Q377" s="360"/>
      <c r="R377" s="254"/>
      <c r="S377" s="85"/>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row>
    <row r="378" spans="1:64" ht="128.25" customHeight="1">
      <c r="A378" s="87" t="s">
        <v>1311</v>
      </c>
      <c r="B378" s="88" t="s">
        <v>1312</v>
      </c>
      <c r="C378" s="89">
        <f>"https://www.aiaa.org/docs/default-source/uploadedfiles/aiaa-propulsionenergy-site/program/aiaa_ieee-design-challenge-012120-final.pdf?sfvrsn=eb7b2e27_0"</f>
        <v>0</v>
      </c>
      <c r="D378" s="130"/>
      <c r="E378" s="91" t="s">
        <v>1313</v>
      </c>
      <c r="F378" s="183" t="s">
        <v>1314</v>
      </c>
      <c r="G378" s="104">
        <f>"The &amp;ldquo;dream&amp;rdquo; of a electrically propelled flying car is now starting to become reality &amp;hellip;"</f>
        <v>0</v>
      </c>
      <c r="H378" s="132">
        <f>"Interesting NASA Video on Electric Planes:  https://www.google.com/url?sa=t&amp;rct=j&amp;q=&amp;esrc=s&amp;source=web&amp;cd=3&amp;cad=rja&amp;uact=8&amp;ved=2ahUKEwj2p_aIwaTnAhUkhOAKHfi6ASkQwqsBMAJ6BAgKEAk&amp;url=https%3A%2F%2Fwww.youtube.com%2Fwatch%3Fv%3D-HvZ7c0F9ik&amp;usg=AOvVaw3Ozsv0jnS"</f>
        <v>0</v>
      </c>
      <c r="I378" s="250"/>
      <c r="J378" s="133"/>
      <c r="K378" s="257">
        <f>"email:propulsionenergy.aiaa.org/EATS"</f>
        <v>0</v>
      </c>
      <c r="L378" s="449">
        <f>"https://files.constantcontact.com/7e768b01301/dee71523-9443-4eb8-b6dd-a81e23bcefb9.pdf"</f>
        <v>0</v>
      </c>
      <c r="M378" s="110">
        <f>"https://ieee.secure-platform.com/a/solicitations/login/288?returnUrl=http%3A%2F%2Fieee.secure-platform.com%2Fa%2Fsolicitations%2F288%2Fhome"</f>
        <v>0</v>
      </c>
      <c r="N378" s="146" t="s">
        <v>1315</v>
      </c>
      <c r="O378" s="359"/>
      <c r="P378" s="359"/>
      <c r="Q378" s="359"/>
      <c r="R378" s="254"/>
      <c r="S378" s="85"/>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row>
    <row r="379" spans="1:64" ht="60.75" customHeight="1">
      <c r="A379" s="112" t="s">
        <v>398</v>
      </c>
      <c r="B379" s="113" t="s">
        <v>399</v>
      </c>
      <c r="C379" s="143">
        <f>"http://www.gtsummitexpo.socialenterprises.net/"</f>
        <v>0</v>
      </c>
      <c r="D379" s="148" t="s">
        <v>400</v>
      </c>
      <c r="E379" s="239" t="s">
        <v>1303</v>
      </c>
      <c r="F379" s="148" t="s">
        <v>402</v>
      </c>
      <c r="G379" s="240" t="s">
        <v>403</v>
      </c>
      <c r="H379" s="217" t="s">
        <v>891</v>
      </c>
      <c r="I379" s="119"/>
      <c r="J379" s="219"/>
      <c r="K379" s="241">
        <f>"http://www.gtsummitexpo.socialenterprises.net/contact/"</f>
        <v>0</v>
      </c>
      <c r="L379" s="292">
        <f>"Call for Special Session and Speaker Proposals:  http://www.gtsummitexpo.socialenterprises.net/downloads/GTSE20_CFP.pdf"</f>
        <v>0</v>
      </c>
      <c r="M379" s="450"/>
      <c r="N379" s="451" t="s">
        <v>404</v>
      </c>
      <c r="O379" s="125" t="s">
        <v>405</v>
      </c>
      <c r="P379" s="148" t="s">
        <v>406</v>
      </c>
      <c r="Q379" s="126" t="s">
        <v>85</v>
      </c>
      <c r="R379" s="127" t="s">
        <v>86</v>
      </c>
      <c r="S379" s="141"/>
      <c r="T379" s="86"/>
      <c r="U379" s="86"/>
      <c r="V379" s="86"/>
      <c r="W379" s="86"/>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row>
    <row r="380" spans="1:64" ht="60.75" customHeight="1">
      <c r="A380" s="112"/>
      <c r="B380" s="113"/>
      <c r="C380" s="143"/>
      <c r="D380" s="148"/>
      <c r="E380" s="148"/>
      <c r="F380" s="148"/>
      <c r="G380" s="240"/>
      <c r="H380" s="217"/>
      <c r="I380" s="119"/>
      <c r="J380" s="219"/>
      <c r="K380" s="241"/>
      <c r="L380" s="292"/>
      <c r="M380" s="450"/>
      <c r="N380" s="451"/>
      <c r="O380" s="125"/>
      <c r="P380" s="148"/>
      <c r="Q380" s="126"/>
      <c r="R380" s="127"/>
      <c r="S380" s="141"/>
      <c r="T380" s="86"/>
      <c r="U380" s="86"/>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row>
    <row r="381" spans="1:64" ht="38.25" customHeight="1">
      <c r="A381" s="279" t="s">
        <v>934</v>
      </c>
      <c r="B381" s="280" t="s">
        <v>935</v>
      </c>
      <c r="C381" s="281">
        <f>"https://www.intertraffic.com/china/"</f>
        <v>0</v>
      </c>
      <c r="D381" s="282" t="s">
        <v>936</v>
      </c>
      <c r="E381" s="283" t="s">
        <v>1316</v>
      </c>
      <c r="F381" s="282" t="s">
        <v>938</v>
      </c>
      <c r="G381" s="452" t="s">
        <v>939</v>
      </c>
      <c r="H381" s="405" t="s">
        <v>891</v>
      </c>
      <c r="I381" s="286"/>
      <c r="J381" s="369"/>
      <c r="K381" s="241">
        <f>"https://www.intertraffic.com/contact/"</f>
        <v>0</v>
      </c>
      <c r="L381" s="453">
        <f>"Exhibitor's info: https://www.intertraffic.com/china/exhibiting/"</f>
        <v>0</v>
      </c>
      <c r="M381" s="123">
        <f>"About:  https://www.intertraffic.com/china/exhibition-info/"</f>
        <v>0</v>
      </c>
      <c r="N381" s="229"/>
      <c r="O381" s="286" t="s">
        <v>540</v>
      </c>
      <c r="P381" s="369">
        <f>"https://www.intertraffic.com/"</f>
        <v>0</v>
      </c>
      <c r="Q381" s="287" t="s">
        <v>54</v>
      </c>
      <c r="R381" s="289" t="s">
        <v>55</v>
      </c>
      <c r="S381" s="85"/>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row>
    <row r="382" spans="1:64" ht="38.25" customHeight="1">
      <c r="A382" s="279"/>
      <c r="B382" s="280"/>
      <c r="C382" s="454">
        <f>"In Chinese:  http://www.intertrafficchina.com/"</f>
        <v>0</v>
      </c>
      <c r="D382" s="282"/>
      <c r="E382" s="455">
        <f>"2020/11/18 – 20 ??"</f>
        <v>0</v>
      </c>
      <c r="F382" s="282"/>
      <c r="G382" s="452"/>
      <c r="H382" s="405"/>
      <c r="I382" s="286"/>
      <c r="J382" s="369"/>
      <c r="K382" s="241"/>
      <c r="L382" s="453"/>
      <c r="M382" s="123"/>
      <c r="N382" s="229"/>
      <c r="O382" s="286"/>
      <c r="P382" s="369"/>
      <c r="Q382" s="287"/>
      <c r="R382" s="289"/>
      <c r="S382" s="85"/>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row>
    <row r="383" spans="1:64" s="86" customFormat="1" ht="78" customHeight="1">
      <c r="A383" s="112" t="s">
        <v>1145</v>
      </c>
      <c r="B383" s="113" t="s">
        <v>1317</v>
      </c>
      <c r="C383" s="143">
        <f>"https://www.sae.org/learn/content/c1950/"</f>
        <v>0</v>
      </c>
      <c r="D383" s="115" t="s">
        <v>1318</v>
      </c>
      <c r="E383" s="116" t="s">
        <v>1309</v>
      </c>
      <c r="F383" s="115" t="s">
        <v>1149</v>
      </c>
      <c r="G383" s="117">
        <f>"&amp;hellip; safety has some of the most complex requirements in the development of [autonomous] vehicles.&amp;nbsp; However, there are many misconceptions involving safety and the concept of safety as applied to [them]."</f>
        <v>0</v>
      </c>
      <c r="H383" s="217" t="s">
        <v>1150</v>
      </c>
      <c r="I383" s="119"/>
      <c r="J383" s="256"/>
      <c r="K383" s="121"/>
      <c r="L383" s="154" t="s">
        <v>507</v>
      </c>
      <c r="M383" s="234" t="s">
        <v>395</v>
      </c>
      <c r="N383" s="235"/>
      <c r="O383" s="125" t="s">
        <v>396</v>
      </c>
      <c r="P383" s="115" t="s">
        <v>397</v>
      </c>
      <c r="Q383" s="126" t="s">
        <v>54</v>
      </c>
      <c r="R383" s="213" t="s">
        <v>55</v>
      </c>
      <c r="S383" s="85"/>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row>
    <row r="384" spans="1:64" s="86" customFormat="1" ht="101.25" customHeight="1">
      <c r="A384" s="87" t="s">
        <v>1319</v>
      </c>
      <c r="B384" s="88" t="s">
        <v>1320</v>
      </c>
      <c r="C384" s="89">
        <f>"https://trb.secure-platform.com/a/page/SETT2020"</f>
        <v>0</v>
      </c>
      <c r="D384" s="183" t="s">
        <v>1321</v>
      </c>
      <c r="E384" s="91">
        <f>"2020/08/31 – 09/02"</f>
        <v>0</v>
      </c>
      <c r="F384" s="183" t="s">
        <v>1322</v>
      </c>
      <c r="G384" s="306" t="s">
        <v>1323</v>
      </c>
      <c r="H384" s="132"/>
      <c r="I384" s="250"/>
      <c r="J384" s="133"/>
      <c r="K384" s="456"/>
      <c r="L384" s="145">
        <f>"http://onlinepubs.trb.org/onlinepubs/conferences/SETT_call_for_Abstracts.pdf"</f>
        <v>0</v>
      </c>
      <c r="M384" s="110">
        <f>"login:  https://trb.secure-platform.com/a/solicitations/login/38?returnUrl=http%3A%2F%2Ftrb.secure-platform.com%2Fa%2Fsolicitations%2F38%2Fhome"</f>
        <v>0</v>
      </c>
      <c r="N384" s="146" t="s">
        <v>1324</v>
      </c>
      <c r="O384" s="330" t="s">
        <v>1207</v>
      </c>
      <c r="P384" s="331">
        <f>"http://www.trb.org/Calendar/Calendar.aspx"</f>
        <v>0</v>
      </c>
      <c r="Q384" s="360" t="s">
        <v>54</v>
      </c>
      <c r="R384" s="254" t="s">
        <v>55</v>
      </c>
      <c r="S384" s="85"/>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row>
    <row r="385" spans="1:64" ht="61.5" customHeight="1">
      <c r="A385" s="112" t="s">
        <v>1325</v>
      </c>
      <c r="B385" s="113" t="s">
        <v>1326</v>
      </c>
      <c r="C385" s="143">
        <f>"https://www.sae.org/learn/content/c1527/"</f>
        <v>0</v>
      </c>
      <c r="D385" s="148" t="s">
        <v>720</v>
      </c>
      <c r="E385" s="116" t="s">
        <v>1327</v>
      </c>
      <c r="F385" s="148" t="s">
        <v>722</v>
      </c>
      <c r="G385" s="240" t="s">
        <v>1328</v>
      </c>
      <c r="H385" s="217" t="s">
        <v>724</v>
      </c>
      <c r="I385" s="215"/>
      <c r="J385" s="120"/>
      <c r="K385" s="121"/>
      <c r="L385" s="350" t="s">
        <v>1329</v>
      </c>
      <c r="M385" s="237" t="s">
        <v>395</v>
      </c>
      <c r="N385" s="238"/>
      <c r="O385" s="125" t="s">
        <v>396</v>
      </c>
      <c r="P385" s="148">
        <f>"https://www.sae.org/learn/professional-development"</f>
        <v>0</v>
      </c>
      <c r="Q385" s="126" t="s">
        <v>54</v>
      </c>
      <c r="R385" s="213" t="s">
        <v>55</v>
      </c>
      <c r="S385" s="85"/>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row>
    <row r="386" spans="1:64" s="86" customFormat="1" ht="61.5" customHeight="1">
      <c r="A386" s="87" t="s">
        <v>1330</v>
      </c>
      <c r="B386" s="88" t="s">
        <v>1331</v>
      </c>
      <c r="C386" s="89">
        <f>"https://chargedevs.com/newswire/charged-announces-virtual-conference-on-ev-engineering/"</f>
        <v>0</v>
      </c>
      <c r="D386" s="183"/>
      <c r="E386" s="91" t="s">
        <v>1332</v>
      </c>
      <c r="F386" s="183" t="s">
        <v>1333</v>
      </c>
      <c r="G386" s="306" t="s">
        <v>1334</v>
      </c>
      <c r="H386" s="132">
        <f>"Registration:   https://chargedevs.com/conference-register"</f>
        <v>0</v>
      </c>
      <c r="I386" s="135">
        <f>"Sessions:  https://chargedevs.com/sessions/"</f>
        <v>0</v>
      </c>
      <c r="J386" s="107"/>
      <c r="K386" s="108"/>
      <c r="L386" s="362"/>
      <c r="M386" s="176"/>
      <c r="N386" s="181"/>
      <c r="O386" s="99" t="s">
        <v>153</v>
      </c>
      <c r="P386" s="183">
        <f>"https://chargedevs.com/conference/"</f>
        <v>0</v>
      </c>
      <c r="Q386" s="100" t="s">
        <v>54</v>
      </c>
      <c r="R386" s="128" t="s">
        <v>55</v>
      </c>
      <c r="S386" s="85"/>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row>
    <row r="387" spans="1:64" s="86" customFormat="1" ht="66" customHeight="1">
      <c r="A387" s="87" t="s">
        <v>1335</v>
      </c>
      <c r="B387" s="183" t="s">
        <v>1336</v>
      </c>
      <c r="C387" s="183">
        <f>"https://register.gotowebinar.com/register/7720740270450728460"</f>
        <v>0</v>
      </c>
      <c r="D387" s="183"/>
      <c r="E387" s="91" t="s">
        <v>1337</v>
      </c>
      <c r="F387" s="183" t="s">
        <v>1338</v>
      </c>
      <c r="G387" s="104" t="s">
        <v>1339</v>
      </c>
      <c r="H387" s="168" t="s">
        <v>1340</v>
      </c>
      <c r="I387" s="318"/>
      <c r="J387" s="133">
        <f>"1-877-PLUGVOLT (1-877-758-4865)"</f>
        <v>0</v>
      </c>
      <c r="K387" s="319">
        <f>"mailto:info@plugvolt.com"</f>
        <v>0</v>
      </c>
      <c r="L387" s="199" t="s">
        <v>144</v>
      </c>
      <c r="M387" s="183"/>
      <c r="N387" s="183"/>
      <c r="O387" s="359" t="s">
        <v>145</v>
      </c>
      <c r="P387" s="183">
        <f>"https://plugvolt.com/webinars/"</f>
        <v>0</v>
      </c>
      <c r="Q387" s="360" t="s">
        <v>54</v>
      </c>
      <c r="R387" s="254" t="s">
        <v>55</v>
      </c>
      <c r="S387" s="354"/>
      <c r="T387" s="355"/>
      <c r="U387" s="355"/>
      <c r="V387" s="355"/>
      <c r="W387" s="355"/>
      <c r="X387" s="355"/>
      <c r="Y387" s="355"/>
      <c r="Z387" s="355"/>
      <c r="AA387" s="355"/>
      <c r="AB387" s="355"/>
      <c r="AC387" s="355"/>
      <c r="AD387" s="355"/>
      <c r="AE387" s="355"/>
      <c r="AF387" s="355"/>
      <c r="AG387" s="355"/>
      <c r="AH387" s="355"/>
      <c r="AI387" s="355"/>
      <c r="AJ387" s="355"/>
      <c r="AK387" s="355"/>
      <c r="AL387" s="355"/>
      <c r="AM387" s="355"/>
      <c r="AN387" s="355"/>
      <c r="AO387" s="355"/>
      <c r="AP387" s="355"/>
      <c r="AQ387" s="355"/>
      <c r="AR387" s="355"/>
      <c r="AS387" s="355"/>
      <c r="AT387" s="355"/>
      <c r="AU387" s="355"/>
      <c r="AV387" s="355"/>
      <c r="AW387" s="355"/>
      <c r="AX387" s="355"/>
      <c r="AY387" s="355"/>
      <c r="AZ387" s="355"/>
      <c r="BA387" s="355"/>
      <c r="BB387" s="355"/>
      <c r="BC387" s="355"/>
      <c r="BD387" s="355"/>
      <c r="BE387" s="355"/>
      <c r="BF387" s="355"/>
      <c r="BG387" s="355"/>
      <c r="BH387" s="355"/>
      <c r="BI387" s="355"/>
      <c r="BJ387" s="355"/>
      <c r="BK387" s="355"/>
      <c r="BL387" s="355"/>
    </row>
    <row r="388" spans="1:64" ht="73.5" customHeight="1">
      <c r="A388" s="112" t="s">
        <v>1341</v>
      </c>
      <c r="B388" s="113" t="s">
        <v>1342</v>
      </c>
      <c r="C388" s="143">
        <f>"https://www.sae.org/learn/content/c1630/"</f>
        <v>0</v>
      </c>
      <c r="D388" s="148" t="s">
        <v>936</v>
      </c>
      <c r="E388" s="116" t="s">
        <v>1343</v>
      </c>
      <c r="F388" s="148" t="s">
        <v>1344</v>
      </c>
      <c r="G388" s="240" t="s">
        <v>1345</v>
      </c>
      <c r="H388" s="217">
        <f>"Instructor: Yuxiang Jiang, Ph.D."</f>
        <v>0</v>
      </c>
      <c r="I388" s="215"/>
      <c r="J388" s="275"/>
      <c r="K388" s="121"/>
      <c r="L388" s="261" t="s">
        <v>1346</v>
      </c>
      <c r="M388" s="237" t="s">
        <v>395</v>
      </c>
      <c r="N388" s="238"/>
      <c r="O388" s="125" t="s">
        <v>396</v>
      </c>
      <c r="P388" s="148" t="s">
        <v>397</v>
      </c>
      <c r="Q388" s="126" t="s">
        <v>54</v>
      </c>
      <c r="R388" s="213" t="s">
        <v>55</v>
      </c>
      <c r="S388" s="85"/>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row>
    <row r="389" spans="1:64" s="86" customFormat="1" ht="73.5" customHeight="1">
      <c r="A389" s="87" t="s">
        <v>1347</v>
      </c>
      <c r="B389" s="88" t="s">
        <v>1348</v>
      </c>
      <c r="C389" s="89">
        <f>"https://register.gotowebinar.com/register/2897970010873581067"</f>
        <v>0</v>
      </c>
      <c r="D389" s="183"/>
      <c r="E389" s="91" t="s">
        <v>1349</v>
      </c>
      <c r="F389" s="183" t="s">
        <v>1350</v>
      </c>
      <c r="G389" s="306" t="s">
        <v>1351</v>
      </c>
      <c r="H389" s="132" t="s">
        <v>1352</v>
      </c>
      <c r="I389" s="135"/>
      <c r="J389" s="202"/>
      <c r="K389" s="108"/>
      <c r="L389" s="199"/>
      <c r="M389" s="176"/>
      <c r="N389" s="181"/>
      <c r="O389" s="99" t="s">
        <v>145</v>
      </c>
      <c r="P389" s="183" t="s">
        <v>1353</v>
      </c>
      <c r="Q389" s="100" t="s">
        <v>54</v>
      </c>
      <c r="R389" s="128" t="s">
        <v>55</v>
      </c>
      <c r="S389" s="85"/>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row>
    <row r="390" spans="1:64" s="86" customFormat="1" ht="43.5" customHeight="1">
      <c r="A390" s="320" t="s">
        <v>1354</v>
      </c>
      <c r="B390" s="321" t="s">
        <v>1355</v>
      </c>
      <c r="C390" s="322">
        <f>"https://learn.renewablegas360.com/Webinar3_LP"</f>
        <v>0</v>
      </c>
      <c r="D390" s="195"/>
      <c r="E390" s="324" t="s">
        <v>1356</v>
      </c>
      <c r="F390" s="195" t="s">
        <v>1357</v>
      </c>
      <c r="G390" s="457" t="s">
        <v>1358</v>
      </c>
      <c r="H390" s="326">
        <f>"&lt;b&gt;Bart&amp;nbsp;Biebuyck&lt;/b&gt;, Exec. Dir., Fuel Cells &amp; Hydr. Joint Undertaking (FCH&amp;nbsp;JU)"</f>
        <v>0</v>
      </c>
      <c r="I390" s="458"/>
      <c r="J390" s="459"/>
      <c r="K390" s="302"/>
      <c r="L390" s="458">
        <f>"Registration:  https://learn.renewablegas360.com/Webinar3_Registration"</f>
        <v>0</v>
      </c>
      <c r="M390" s="195"/>
      <c r="N390" s="302"/>
      <c r="O390" s="203" t="s">
        <v>161</v>
      </c>
      <c r="P390" s="195">
        <f>"https://www.renewablegas360.com/"</f>
        <v>0</v>
      </c>
      <c r="Q390" s="372" t="s">
        <v>54</v>
      </c>
      <c r="R390" s="333" t="s">
        <v>55</v>
      </c>
      <c r="S390" s="460"/>
      <c r="T390" s="461"/>
      <c r="U390" s="461"/>
      <c r="V390" s="461"/>
      <c r="W390" s="461"/>
      <c r="X390" s="461"/>
      <c r="Y390" s="461"/>
      <c r="Z390" s="461"/>
      <c r="AA390" s="461"/>
      <c r="AB390" s="461"/>
      <c r="AC390" s="461"/>
      <c r="AD390" s="461"/>
      <c r="AE390" s="461"/>
      <c r="AF390" s="461"/>
      <c r="AG390" s="461"/>
      <c r="AH390" s="461"/>
      <c r="AI390" s="461"/>
      <c r="AJ390" s="461"/>
      <c r="AK390" s="461"/>
      <c r="AL390" s="461"/>
      <c r="AM390" s="461"/>
      <c r="AN390" s="461"/>
      <c r="AO390" s="461"/>
      <c r="AP390" s="461"/>
      <c r="AQ390" s="461"/>
      <c r="AR390" s="461"/>
      <c r="AS390" s="461"/>
      <c r="AT390" s="461"/>
      <c r="AU390" s="461"/>
      <c r="AV390" s="461"/>
      <c r="AW390" s="461"/>
      <c r="AX390" s="461"/>
      <c r="AY390" s="461"/>
      <c r="AZ390" s="461"/>
      <c r="BA390" s="461"/>
      <c r="BB390" s="461"/>
      <c r="BC390" s="461"/>
      <c r="BD390" s="461"/>
      <c r="BE390" s="461"/>
      <c r="BF390" s="461"/>
      <c r="BG390" s="461"/>
      <c r="BH390" s="461"/>
      <c r="BI390" s="461"/>
      <c r="BJ390" s="461"/>
      <c r="BK390" s="461"/>
      <c r="BL390" s="461"/>
    </row>
    <row r="391" spans="1:64" s="86" customFormat="1" ht="43.5" customHeight="1">
      <c r="A391" s="320"/>
      <c r="B391" s="321"/>
      <c r="C391" s="322"/>
      <c r="D391" s="195"/>
      <c r="E391" s="324"/>
      <c r="F391" s="195"/>
      <c r="G391" s="457"/>
      <c r="H391" s="326">
        <f>"&lt;b&gt;Michael&amp;nbsp;Ducker&lt;/b&gt;, VP, Ren. Fuels &amp; Western Region, Mitsubishi Hitachi Power&amp;nbsp;Systems"</f>
        <v>0</v>
      </c>
      <c r="I391" s="458"/>
      <c r="J391" s="459"/>
      <c r="K391" s="302"/>
      <c r="L391" s="458"/>
      <c r="M391" s="195"/>
      <c r="N391" s="302"/>
      <c r="O391" s="203"/>
      <c r="P391" s="195"/>
      <c r="Q391" s="372"/>
      <c r="R391" s="372"/>
      <c r="S391" s="460"/>
      <c r="T391" s="461"/>
      <c r="U391" s="461"/>
      <c r="V391" s="461"/>
      <c r="W391" s="461"/>
      <c r="X391" s="461"/>
      <c r="Y391" s="461"/>
      <c r="Z391" s="461"/>
      <c r="AA391" s="461"/>
      <c r="AB391" s="461"/>
      <c r="AC391" s="461"/>
      <c r="AD391" s="461"/>
      <c r="AE391" s="461"/>
      <c r="AF391" s="461"/>
      <c r="AG391" s="461"/>
      <c r="AH391" s="461"/>
      <c r="AI391" s="461"/>
      <c r="AJ391" s="461"/>
      <c r="AK391" s="461"/>
      <c r="AL391" s="461"/>
      <c r="AM391" s="461"/>
      <c r="AN391" s="461"/>
      <c r="AO391" s="461"/>
      <c r="AP391" s="461"/>
      <c r="AQ391" s="461"/>
      <c r="AR391" s="461"/>
      <c r="AS391" s="461"/>
      <c r="AT391" s="461"/>
      <c r="AU391" s="461"/>
      <c r="AV391" s="461"/>
      <c r="AW391" s="461"/>
      <c r="AX391" s="461"/>
      <c r="AY391" s="461"/>
      <c r="AZ391" s="461"/>
      <c r="BA391" s="461"/>
      <c r="BB391" s="461"/>
      <c r="BC391" s="461"/>
      <c r="BD391" s="461"/>
      <c r="BE391" s="461"/>
      <c r="BF391" s="461"/>
      <c r="BG391" s="461"/>
      <c r="BH391" s="461"/>
      <c r="BI391" s="461"/>
      <c r="BJ391" s="461"/>
      <c r="BK391" s="461"/>
      <c r="BL391" s="461"/>
    </row>
    <row r="392" spans="1:64" s="86" customFormat="1" ht="43.5" customHeight="1">
      <c r="A392" s="320"/>
      <c r="B392" s="321"/>
      <c r="C392" s="322"/>
      <c r="D392" s="195"/>
      <c r="E392" s="324"/>
      <c r="F392" s="195"/>
      <c r="G392" s="457"/>
      <c r="H392" s="326">
        <f>"&lt;b&gt;Dave&amp;nbsp;Edwards&lt;/b&gt;, PhD, Dir. &amp; Advocate for Hydr. Energy, Air&amp;nbsp;Liquide "</f>
        <v>0</v>
      </c>
      <c r="I392" s="458"/>
      <c r="J392" s="459"/>
      <c r="K392" s="302"/>
      <c r="L392" s="458"/>
      <c r="M392" s="195"/>
      <c r="N392" s="302"/>
      <c r="O392" s="203"/>
      <c r="P392" s="195"/>
      <c r="Q392" s="372"/>
      <c r="R392" s="372"/>
      <c r="S392" s="460"/>
      <c r="T392" s="461"/>
      <c r="U392" s="461"/>
      <c r="V392" s="461"/>
      <c r="W392" s="461"/>
      <c r="X392" s="461"/>
      <c r="Y392" s="461"/>
      <c r="Z392" s="461"/>
      <c r="AA392" s="461"/>
      <c r="AB392" s="461"/>
      <c r="AC392" s="461"/>
      <c r="AD392" s="461"/>
      <c r="AE392" s="461"/>
      <c r="AF392" s="461"/>
      <c r="AG392" s="461"/>
      <c r="AH392" s="461"/>
      <c r="AI392" s="461"/>
      <c r="AJ392" s="461"/>
      <c r="AK392" s="461"/>
      <c r="AL392" s="461"/>
      <c r="AM392" s="461"/>
      <c r="AN392" s="461"/>
      <c r="AO392" s="461"/>
      <c r="AP392" s="461"/>
      <c r="AQ392" s="461"/>
      <c r="AR392" s="461"/>
      <c r="AS392" s="461"/>
      <c r="AT392" s="461"/>
      <c r="AU392" s="461"/>
      <c r="AV392" s="461"/>
      <c r="AW392" s="461"/>
      <c r="AX392" s="461"/>
      <c r="AY392" s="461"/>
      <c r="AZ392" s="461"/>
      <c r="BA392" s="461"/>
      <c r="BB392" s="461"/>
      <c r="BC392" s="461"/>
      <c r="BD392" s="461"/>
      <c r="BE392" s="461"/>
      <c r="BF392" s="461"/>
      <c r="BG392" s="461"/>
      <c r="BH392" s="461"/>
      <c r="BI392" s="461"/>
      <c r="BJ392" s="461"/>
      <c r="BK392" s="461"/>
      <c r="BL392" s="461"/>
    </row>
    <row r="393" spans="1:64" s="86" customFormat="1" ht="30" customHeight="1">
      <c r="A393" s="320"/>
      <c r="B393" s="321"/>
      <c r="C393" s="322"/>
      <c r="D393" s="195"/>
      <c r="E393" s="324"/>
      <c r="F393" s="195"/>
      <c r="G393" s="457"/>
      <c r="H393" s="326">
        <f>"&lt;b&gt;John&amp;nbsp;Quinn&lt;/b&gt;, Sr. Mgr. for Renewable Gases, Fortis&amp;nbsp;BC"</f>
        <v>0</v>
      </c>
      <c r="I393" s="458"/>
      <c r="J393" s="459"/>
      <c r="K393" s="302"/>
      <c r="L393" s="458"/>
      <c r="M393" s="195"/>
      <c r="N393" s="302"/>
      <c r="O393" s="203"/>
      <c r="P393" s="195"/>
      <c r="Q393" s="372"/>
      <c r="R393" s="372"/>
      <c r="S393" s="460"/>
      <c r="T393" s="461"/>
      <c r="U393" s="461"/>
      <c r="V393" s="461"/>
      <c r="W393" s="461"/>
      <c r="X393" s="461"/>
      <c r="Y393" s="461"/>
      <c r="Z393" s="461"/>
      <c r="AA393" s="461"/>
      <c r="AB393" s="461"/>
      <c r="AC393" s="461"/>
      <c r="AD393" s="461"/>
      <c r="AE393" s="461"/>
      <c r="AF393" s="461"/>
      <c r="AG393" s="461"/>
      <c r="AH393" s="461"/>
      <c r="AI393" s="461"/>
      <c r="AJ393" s="461"/>
      <c r="AK393" s="461"/>
      <c r="AL393" s="461"/>
      <c r="AM393" s="461"/>
      <c r="AN393" s="461"/>
      <c r="AO393" s="461"/>
      <c r="AP393" s="461"/>
      <c r="AQ393" s="461"/>
      <c r="AR393" s="461"/>
      <c r="AS393" s="461"/>
      <c r="AT393" s="461"/>
      <c r="AU393" s="461"/>
      <c r="AV393" s="461"/>
      <c r="AW393" s="461"/>
      <c r="AX393" s="461"/>
      <c r="AY393" s="461"/>
      <c r="AZ393" s="461"/>
      <c r="BA393" s="461"/>
      <c r="BB393" s="461"/>
      <c r="BC393" s="461"/>
      <c r="BD393" s="461"/>
      <c r="BE393" s="461"/>
      <c r="BF393" s="461"/>
      <c r="BG393" s="461"/>
      <c r="BH393" s="461"/>
      <c r="BI393" s="461"/>
      <c r="BJ393" s="461"/>
      <c r="BK393" s="461"/>
      <c r="BL393" s="461"/>
    </row>
    <row r="394" spans="1:64" s="86" customFormat="1" ht="43.5" customHeight="1">
      <c r="A394" s="320"/>
      <c r="B394" s="321"/>
      <c r="C394" s="322"/>
      <c r="D394" s="195"/>
      <c r="E394" s="324"/>
      <c r="F394" s="195"/>
      <c r="G394" s="457"/>
      <c r="H394" s="326">
        <f>"Moderated&amp;nbsp;by:&amp;nbsp; &lt;b&gt;Diane&amp;nbsp;Moss&lt;/b&gt;, Policy Dir., CA Hydr. Bus.&amp;nbsp;Council"</f>
        <v>0</v>
      </c>
      <c r="I394" s="458"/>
      <c r="J394" s="459"/>
      <c r="K394" s="302"/>
      <c r="L394" s="458"/>
      <c r="M394" s="195"/>
      <c r="N394" s="302"/>
      <c r="O394" s="203"/>
      <c r="P394" s="195"/>
      <c r="Q394" s="372"/>
      <c r="R394" s="372"/>
      <c r="S394" s="460"/>
      <c r="T394" s="461"/>
      <c r="U394" s="461"/>
      <c r="V394" s="461"/>
      <c r="W394" s="461"/>
      <c r="X394" s="461"/>
      <c r="Y394" s="461"/>
      <c r="Z394" s="461"/>
      <c r="AA394" s="461"/>
      <c r="AB394" s="461"/>
      <c r="AC394" s="461"/>
      <c r="AD394" s="461"/>
      <c r="AE394" s="461"/>
      <c r="AF394" s="461"/>
      <c r="AG394" s="461"/>
      <c r="AH394" s="461"/>
      <c r="AI394" s="461"/>
      <c r="AJ394" s="461"/>
      <c r="AK394" s="461"/>
      <c r="AL394" s="461"/>
      <c r="AM394" s="461"/>
      <c r="AN394" s="461"/>
      <c r="AO394" s="461"/>
      <c r="AP394" s="461"/>
      <c r="AQ394" s="461"/>
      <c r="AR394" s="461"/>
      <c r="AS394" s="461"/>
      <c r="AT394" s="461"/>
      <c r="AU394" s="461"/>
      <c r="AV394" s="461"/>
      <c r="AW394" s="461"/>
      <c r="AX394" s="461"/>
      <c r="AY394" s="461"/>
      <c r="AZ394" s="461"/>
      <c r="BA394" s="461"/>
      <c r="BB394" s="461"/>
      <c r="BC394" s="461"/>
      <c r="BD394" s="461"/>
      <c r="BE394" s="461"/>
      <c r="BF394" s="461"/>
      <c r="BG394" s="461"/>
      <c r="BH394" s="461"/>
      <c r="BI394" s="461"/>
      <c r="BJ394" s="461"/>
      <c r="BK394" s="461"/>
      <c r="BL394" s="461"/>
    </row>
    <row r="395" spans="1:64" s="86" customFormat="1" ht="76.5" customHeight="1">
      <c r="A395" s="87" t="s">
        <v>1359</v>
      </c>
      <c r="B395" s="88" t="s">
        <v>1360</v>
      </c>
      <c r="C395" s="89">
        <f>"https://aetransport.org/"</f>
        <v>0</v>
      </c>
      <c r="D395" s="183" t="s">
        <v>1361</v>
      </c>
      <c r="E395" s="188" t="s">
        <v>1362</v>
      </c>
      <c r="F395" s="183" t="s">
        <v>1363</v>
      </c>
      <c r="G395" s="306" t="s">
        <v>1364</v>
      </c>
      <c r="H395" s="132"/>
      <c r="I395" s="106"/>
      <c r="J395" s="462"/>
      <c r="K395" s="108"/>
      <c r="L395" s="159">
        <f>"Call for Papers and Contributions:  https://aetransport.org/etc/this-year-at-etc/call-for-papers"</f>
        <v>0</v>
      </c>
      <c r="M395" s="173">
        <f>"Brochure:  https://aetransport.org/public/downloads/soc5h/ETC%202020%20A5%20Call%20for%20Papers%20final.pdf"</f>
        <v>0</v>
      </c>
      <c r="N395" s="180" t="s">
        <v>1365</v>
      </c>
      <c r="O395" s="199" t="s">
        <v>1366</v>
      </c>
      <c r="P395" s="183">
        <f>"https://aetransport.org/en-gb/"</f>
        <v>0</v>
      </c>
      <c r="Q395" s="100" t="s">
        <v>54</v>
      </c>
      <c r="R395" s="128" t="s">
        <v>55</v>
      </c>
      <c r="S395" s="85"/>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row>
    <row r="396" spans="1:64" ht="66" customHeight="1">
      <c r="A396" s="112" t="s">
        <v>460</v>
      </c>
      <c r="B396" s="113" t="s">
        <v>1367</v>
      </c>
      <c r="C396" s="143">
        <f>"https://www.sae.org/learn/content/c1870/"</f>
        <v>0</v>
      </c>
      <c r="D396" s="148" t="s">
        <v>552</v>
      </c>
      <c r="E396" s="239" t="s">
        <v>1368</v>
      </c>
      <c r="F396" s="148" t="s">
        <v>462</v>
      </c>
      <c r="G396" s="240" t="s">
        <v>463</v>
      </c>
      <c r="H396" s="217">
        <f>"Instructor:  Manoj Shah"</f>
        <v>0</v>
      </c>
      <c r="I396" s="215" t="s">
        <v>757</v>
      </c>
      <c r="J396" s="259"/>
      <c r="K396" s="121"/>
      <c r="L396" s="212" t="s">
        <v>1369</v>
      </c>
      <c r="M396" s="234" t="s">
        <v>465</v>
      </c>
      <c r="N396" s="235"/>
      <c r="O396" s="261" t="s">
        <v>396</v>
      </c>
      <c r="P396" s="148">
        <f aca="true" t="shared" si="4" ref="P396:P397">"https://www.sae.org/learn/professional-development"</f>
        <v>0</v>
      </c>
      <c r="Q396" s="126" t="s">
        <v>54</v>
      </c>
      <c r="R396" s="213" t="s">
        <v>55</v>
      </c>
      <c r="S396" s="85"/>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row>
    <row r="397" spans="1:64" s="86" customFormat="1" ht="63.75" customHeight="1">
      <c r="A397" s="87" t="s">
        <v>1370</v>
      </c>
      <c r="B397" s="88" t="s">
        <v>1371</v>
      </c>
      <c r="C397" s="89">
        <f>"https://www.sae.org/learn/content/c1504/"</f>
        <v>0</v>
      </c>
      <c r="D397" s="183" t="s">
        <v>1372</v>
      </c>
      <c r="E397" s="91" t="s">
        <v>1362</v>
      </c>
      <c r="F397" s="183" t="s">
        <v>512</v>
      </c>
      <c r="G397" s="306" t="s">
        <v>1373</v>
      </c>
      <c r="H397" s="132"/>
      <c r="I397" s="106"/>
      <c r="J397" s="202"/>
      <c r="K397" s="108"/>
      <c r="L397" s="159" t="s">
        <v>1374</v>
      </c>
      <c r="M397" s="463" t="s">
        <v>433</v>
      </c>
      <c r="N397" s="180">
        <f>"Instructor: Dr. Mark Quarto"</f>
        <v>0</v>
      </c>
      <c r="O397" s="99" t="s">
        <v>396</v>
      </c>
      <c r="P397" s="183">
        <f t="shared" si="4"/>
        <v>0</v>
      </c>
      <c r="Q397" s="100" t="s">
        <v>54</v>
      </c>
      <c r="R397" s="128" t="s">
        <v>55</v>
      </c>
      <c r="S397" s="85"/>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row>
    <row r="398" spans="1:64" s="86" customFormat="1" ht="66" customHeight="1">
      <c r="A398" s="87" t="s">
        <v>1375</v>
      </c>
      <c r="B398" s="88" t="s">
        <v>1376</v>
      </c>
      <c r="C398" s="89">
        <f>"https://www.sae.org/learn/content/c1635/"</f>
        <v>0</v>
      </c>
      <c r="D398" s="183" t="s">
        <v>389</v>
      </c>
      <c r="E398" s="188" t="s">
        <v>1377</v>
      </c>
      <c r="F398" s="183" t="s">
        <v>1378</v>
      </c>
      <c r="G398" s="306" t="s">
        <v>1379</v>
      </c>
      <c r="H398" s="132" t="s">
        <v>1380</v>
      </c>
      <c r="I398" s="135"/>
      <c r="J398" s="462"/>
      <c r="K398" s="108"/>
      <c r="L398" s="159" t="s">
        <v>1381</v>
      </c>
      <c r="M398" s="173" t="s">
        <v>395</v>
      </c>
      <c r="N398" s="180"/>
      <c r="O398" s="199" t="s">
        <v>396</v>
      </c>
      <c r="P398" s="183" t="s">
        <v>397</v>
      </c>
      <c r="Q398" s="100" t="s">
        <v>54</v>
      </c>
      <c r="R398" s="128" t="s">
        <v>55</v>
      </c>
      <c r="S398" s="85"/>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row>
    <row r="399" spans="1:64" s="86" customFormat="1" ht="40.5" customHeight="1">
      <c r="A399" s="129">
        <f>"SAE Free Webinar:&amp;nbsp; LiDAR Technology Advancements and Market Trends"</f>
        <v>0</v>
      </c>
      <c r="B399" s="88" t="s">
        <v>1382</v>
      </c>
      <c r="C399" s="89">
        <f>"https://event.webcasts.com/starthere.jsp?ei=1349744&amp;tp_key=6b2e0bba24"</f>
        <v>0</v>
      </c>
      <c r="D399" s="90"/>
      <c r="E399" s="91" t="s">
        <v>1383</v>
      </c>
      <c r="F399" s="90" t="s">
        <v>1384</v>
      </c>
      <c r="G399" s="104">
        <f>"LiDAR appears to be the fastest moving of all automated-vehicle hardware development efforts."</f>
        <v>0</v>
      </c>
      <c r="H399" s="132" t="s">
        <v>1385</v>
      </c>
      <c r="I399" s="106"/>
      <c r="J399" s="107"/>
      <c r="K399" s="134"/>
      <c r="L399" s="96"/>
      <c r="M399" s="110"/>
      <c r="N399" s="110"/>
      <c r="O399" s="203" t="s">
        <v>260</v>
      </c>
      <c r="P399" s="204" t="s">
        <v>1213</v>
      </c>
      <c r="Q399" s="360" t="s">
        <v>54</v>
      </c>
      <c r="R399" s="254" t="s">
        <v>55</v>
      </c>
      <c r="S399" s="85"/>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row>
    <row r="400" spans="1:64" s="86" customFormat="1" ht="38.25" customHeight="1">
      <c r="A400" s="129"/>
      <c r="B400" s="88"/>
      <c r="C400" s="89"/>
      <c r="D400" s="90"/>
      <c r="E400" s="90"/>
      <c r="F400" s="90"/>
      <c r="G400" s="104"/>
      <c r="H400" s="132" t="s">
        <v>1386</v>
      </c>
      <c r="I400" s="106"/>
      <c r="J400" s="107"/>
      <c r="K400" s="134"/>
      <c r="L400" s="96"/>
      <c r="M400" s="110"/>
      <c r="N400" s="110"/>
      <c r="O400" s="203"/>
      <c r="P400" s="204"/>
      <c r="Q400" s="360"/>
      <c r="R400" s="254"/>
      <c r="S400" s="85"/>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row>
    <row r="401" spans="1:64" s="86" customFormat="1" ht="27" customHeight="1">
      <c r="A401" s="129"/>
      <c r="B401" s="88"/>
      <c r="C401" s="89"/>
      <c r="D401" s="90"/>
      <c r="E401" s="90"/>
      <c r="F401" s="90" t="s">
        <v>1387</v>
      </c>
      <c r="G401" s="104"/>
      <c r="H401" s="132">
        <f>"&lt;b&gt;Jun&amp;nbsp;Pei&lt;/b&gt;, PhD, CEO &amp; Founder, Cepton"</f>
        <v>0</v>
      </c>
      <c r="I401" s="106"/>
      <c r="J401" s="107"/>
      <c r="K401" s="134"/>
      <c r="L401" s="96"/>
      <c r="M401" s="110"/>
      <c r="N401" s="110"/>
      <c r="O401" s="203"/>
      <c r="P401" s="204"/>
      <c r="Q401" s="360"/>
      <c r="R401" s="254"/>
      <c r="S401" s="85"/>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row>
    <row r="402" spans="1:64" s="86" customFormat="1" ht="27" customHeight="1">
      <c r="A402" s="129"/>
      <c r="B402" s="88"/>
      <c r="C402" s="89"/>
      <c r="D402" s="90"/>
      <c r="E402" s="90"/>
      <c r="F402" s="90"/>
      <c r="G402" s="104"/>
      <c r="H402" s="132" t="s">
        <v>1214</v>
      </c>
      <c r="I402" s="106"/>
      <c r="J402" s="107"/>
      <c r="K402" s="134"/>
      <c r="L402" s="96"/>
      <c r="M402" s="110"/>
      <c r="N402" s="110"/>
      <c r="O402" s="203"/>
      <c r="P402" s="204"/>
      <c r="Q402" s="360"/>
      <c r="R402" s="254"/>
      <c r="S402" s="85"/>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row>
    <row r="403" spans="1:64" s="86" customFormat="1" ht="30.75" customHeight="1">
      <c r="A403" s="129">
        <f>"ACT-News Free Webinar:  Get Ready to Charge: Designing and Installing Charging Stations that Support Medium- and Heavy-duty EVs"</f>
        <v>0</v>
      </c>
      <c r="B403" s="88" t="s">
        <v>1388</v>
      </c>
      <c r="C403" s="89">
        <f>"https://www.act-news.com/webinar/get-ready-to-charge-designing-and-installing-charging-stations-that-support-medium-and-heavy-duty-evs/"</f>
        <v>0</v>
      </c>
      <c r="D403" s="130"/>
      <c r="E403" s="209" t="s">
        <v>1389</v>
      </c>
      <c r="F403" s="130" t="s">
        <v>1390</v>
      </c>
      <c r="G403" s="167" t="s">
        <v>1391</v>
      </c>
      <c r="H403" s="132">
        <f>"&lt;b&gt;Simon&amp;nbsp;Horton&lt;/b&gt;, Sr. Proj. Mgr, Transp. Electr., SoCal Edison"</f>
        <v>0</v>
      </c>
      <c r="I403" s="301"/>
      <c r="J403" s="462"/>
      <c r="K403" s="134"/>
      <c r="L403" s="96">
        <f>"Registratiuon:  https://www.act-news.com/webinar/get-ready-to-charge-designing-and-installing-charging-stations-that-support-medium-and-heavy-duty-evs/?elqTrackId=a7e9337f95ef41daa3b0da45d43684f7&amp;elq=0355e9bde7d343e28d22040c93a5fd62&amp;elqaid=2994&amp;elqat=1&amp;el"</f>
        <v>0</v>
      </c>
      <c r="M403" s="110"/>
      <c r="N403" s="146"/>
      <c r="O403" s="199" t="s">
        <v>1281</v>
      </c>
      <c r="P403" s="130" t="s">
        <v>1392</v>
      </c>
      <c r="Q403" s="100" t="s">
        <v>54</v>
      </c>
      <c r="R403" s="128" t="s">
        <v>55</v>
      </c>
      <c r="S403" s="85"/>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row>
    <row r="404" spans="1:64" s="86" customFormat="1" ht="28.5" customHeight="1">
      <c r="A404" s="129"/>
      <c r="B404" s="88"/>
      <c r="C404" s="89"/>
      <c r="D404" s="130"/>
      <c r="E404" s="209"/>
      <c r="F404" s="130"/>
      <c r="G404" s="167"/>
      <c r="H404" s="132">
        <f>"&lt;b&gt;Andrew&amp;nbsp;Papson&lt;/b&gt;, Advi., eMobility, SoCal Edison"</f>
        <v>0</v>
      </c>
      <c r="I404" s="301"/>
      <c r="J404" s="462"/>
      <c r="K404" s="134"/>
      <c r="L404" s="96"/>
      <c r="M404" s="110"/>
      <c r="N404" s="146"/>
      <c r="O404" s="199"/>
      <c r="P404" s="130"/>
      <c r="Q404" s="100"/>
      <c r="R404" s="128"/>
      <c r="S404" s="85"/>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row>
    <row r="405" spans="1:64" s="86" customFormat="1" ht="29.25" customHeight="1">
      <c r="A405" s="129"/>
      <c r="B405" s="88"/>
      <c r="C405" s="89"/>
      <c r="D405" s="130"/>
      <c r="E405" s="209"/>
      <c r="F405" s="130"/>
      <c r="G405" s="167"/>
      <c r="H405" s="132">
        <f>"&lt;b&gt;Mike&amp;nbsp;Barnes&lt;/b&gt;, Sr. Reg. Facilities Mgr, Penske"</f>
        <v>0</v>
      </c>
      <c r="I405" s="301"/>
      <c r="J405" s="462"/>
      <c r="K405" s="134"/>
      <c r="L405" s="96"/>
      <c r="M405" s="110"/>
      <c r="N405" s="146"/>
      <c r="O405" s="199"/>
      <c r="P405" s="130"/>
      <c r="Q405" s="100"/>
      <c r="R405" s="128"/>
      <c r="S405" s="85"/>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row>
    <row r="406" spans="1:64" s="86" customFormat="1" ht="30" customHeight="1">
      <c r="A406" s="129"/>
      <c r="B406" s="88"/>
      <c r="C406" s="89"/>
      <c r="D406" s="130"/>
      <c r="E406" s="209"/>
      <c r="F406" s="130"/>
      <c r="G406" s="167"/>
      <c r="H406" s="132">
        <f>"&lt;b&gt;Natalia&amp;nbsp;Swalnick&lt;/b&gt; Sr. Dir., Electrif. Coalition"</f>
        <v>0</v>
      </c>
      <c r="I406" s="301"/>
      <c r="J406" s="462"/>
      <c r="K406" s="134"/>
      <c r="L406" s="96"/>
      <c r="M406" s="110"/>
      <c r="N406" s="146"/>
      <c r="O406" s="199"/>
      <c r="P406" s="130"/>
      <c r="Q406" s="100"/>
      <c r="R406" s="128"/>
      <c r="S406" s="85"/>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row>
    <row r="407" spans="1:64" s="86" customFormat="1" ht="44.25" customHeight="1">
      <c r="A407" s="102" t="s">
        <v>1393</v>
      </c>
      <c r="B407" s="88" t="s">
        <v>1394</v>
      </c>
      <c r="C407" s="89">
        <f>"https://ennocar.com/registration/"</f>
        <v>0</v>
      </c>
      <c r="D407" s="183"/>
      <c r="E407" s="188" t="s">
        <v>1395</v>
      </c>
      <c r="F407" s="183" t="s">
        <v>1396</v>
      </c>
      <c r="G407" s="167" t="s">
        <v>1397</v>
      </c>
      <c r="H407" s="132"/>
      <c r="I407" s="135"/>
      <c r="J407" s="462"/>
      <c r="K407" s="108">
        <f>"mailto:info@ennocar.com"</f>
        <v>0</v>
      </c>
      <c r="L407" s="159"/>
      <c r="M407" s="110"/>
      <c r="N407" s="146"/>
      <c r="O407" s="199" t="s">
        <v>1394</v>
      </c>
      <c r="P407" s="183">
        <f>"https://ennocar.com/"</f>
        <v>0</v>
      </c>
      <c r="Q407" s="100" t="s">
        <v>54</v>
      </c>
      <c r="R407" s="128" t="s">
        <v>55</v>
      </c>
      <c r="S407" s="85"/>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row>
    <row r="408" spans="1:19" s="86" customFormat="1" ht="71.25" customHeight="1">
      <c r="A408" s="87" t="s">
        <v>1398</v>
      </c>
      <c r="B408" s="183" t="s">
        <v>1399</v>
      </c>
      <c r="C408" s="90">
        <f>"https://www.zebconference2020.com/"</f>
        <v>0</v>
      </c>
      <c r="D408" s="183"/>
      <c r="E408" s="91" t="s">
        <v>1400</v>
      </c>
      <c r="F408" s="183" t="s">
        <v>371</v>
      </c>
      <c r="G408" s="464" t="s">
        <v>1401</v>
      </c>
      <c r="H408" s="132"/>
      <c r="I408" s="250"/>
      <c r="J408" s="133"/>
      <c r="K408" s="465"/>
      <c r="L408" s="159">
        <f>"Zebra Meeting:  https://ctetv.zoom.us/webinar/register/WN_B47zNlmbTqqpFsaxSVE_FA"</f>
        <v>0</v>
      </c>
      <c r="M408" s="97"/>
      <c r="N408" s="98"/>
      <c r="O408" s="359" t="s">
        <v>373</v>
      </c>
      <c r="P408" s="183">
        <f>"https://avere.org/calendar/"</f>
        <v>0</v>
      </c>
      <c r="Q408" s="360" t="s">
        <v>54</v>
      </c>
      <c r="R408" s="254" t="s">
        <v>55</v>
      </c>
      <c r="S408" s="141"/>
    </row>
    <row r="409" spans="1:64" s="86" customFormat="1" ht="44.25" customHeight="1">
      <c r="A409" s="87" t="s">
        <v>1402</v>
      </c>
      <c r="B409" s="88" t="s">
        <v>1403</v>
      </c>
      <c r="C409" s="89">
        <f>"https://www.sae.org/attend/m3-multi-modal-mobility"</f>
        <v>0</v>
      </c>
      <c r="D409" s="130" t="s">
        <v>1404</v>
      </c>
      <c r="E409" s="91" t="s">
        <v>1405</v>
      </c>
      <c r="F409" s="130" t="s">
        <v>1406</v>
      </c>
      <c r="G409" s="160" t="s">
        <v>1407</v>
      </c>
      <c r="H409" s="132">
        <f>"Will be Virtual:  https://www.sae.org/attend/m3-multi-modal-mobility/cancellation-faq"</f>
        <v>0</v>
      </c>
      <c r="I409" s="106"/>
      <c r="J409" s="107"/>
      <c r="K409" s="134"/>
      <c r="L409" s="159">
        <f>"https://www.sae.org/binaries/content/assets/cm/content/attend/2020/sae-m3/20_m3_call_for_papers.pdf"</f>
        <v>0</v>
      </c>
      <c r="M409" s="110">
        <f>"https://www.sae.org/servlets/techpapers/enterAbstractForPapers.do?method=formView&amp;evtSchedGenNum=309195&amp;prodGrpCd=SPEC&amp;evtName=M3"</f>
        <v>0</v>
      </c>
      <c r="N409" s="98" t="s">
        <v>1408</v>
      </c>
      <c r="O409" s="99" t="s">
        <v>83</v>
      </c>
      <c r="P409" s="130" t="s">
        <v>84</v>
      </c>
      <c r="Q409" s="187" t="s">
        <v>54</v>
      </c>
      <c r="R409" s="128" t="s">
        <v>55</v>
      </c>
      <c r="S409" s="85"/>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row>
    <row r="410" spans="1:64" s="86" customFormat="1" ht="54.75" customHeight="1">
      <c r="A410" s="87"/>
      <c r="B410" s="88"/>
      <c r="C410" s="89">
        <f>"Alt. Link:  https://www.sae.org/attend/m3-multi-modal-mobility/attend"</f>
        <v>0</v>
      </c>
      <c r="D410" s="130"/>
      <c r="E410" s="91"/>
      <c r="F410" s="130"/>
      <c r="G410" s="160"/>
      <c r="H410" s="132"/>
      <c r="I410" s="106"/>
      <c r="J410" s="107"/>
      <c r="K410" s="134"/>
      <c r="L410" s="159"/>
      <c r="M410" s="110"/>
      <c r="N410" s="98"/>
      <c r="O410" s="99"/>
      <c r="P410" s="130"/>
      <c r="Q410" s="187"/>
      <c r="R410" s="128"/>
      <c r="S410" s="85"/>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row>
    <row r="411" spans="1:19" s="86" customFormat="1" ht="63" customHeight="1">
      <c r="A411" s="87" t="s">
        <v>1409</v>
      </c>
      <c r="B411" s="88" t="s">
        <v>1410</v>
      </c>
      <c r="C411" s="89">
        <f>"https://register.gotowebinar.com/register/5440540073796616971"</f>
        <v>0</v>
      </c>
      <c r="D411" s="183"/>
      <c r="E411" s="91" t="s">
        <v>1411</v>
      </c>
      <c r="F411" s="183" t="s">
        <v>1412</v>
      </c>
      <c r="G411" s="104">
        <f>"Wireless charging or wireless power transfer (WPT) provides a convenient and viable solution without the need for major breakthrough in today's battery technology &amp;hellip;."</f>
        <v>0</v>
      </c>
      <c r="H411" s="132">
        <f>"&lt;b&gt;Chengbin&amp;nbsp;Ma&lt;/b&gt;,  Assoc. Prof. of Electr. &amp; Comp. Eng., Univ. of Mich.-Shanghai Jiao Tong Univ. Joint Institute"</f>
        <v>0</v>
      </c>
      <c r="I411" s="135"/>
      <c r="J411" s="133"/>
      <c r="K411" s="307"/>
      <c r="L411" s="109"/>
      <c r="M411" s="109"/>
      <c r="N411" s="303"/>
      <c r="O411" s="99" t="s">
        <v>103</v>
      </c>
      <c r="P411" s="183" t="s">
        <v>104</v>
      </c>
      <c r="Q411" s="100" t="s">
        <v>54</v>
      </c>
      <c r="R411" s="128" t="s">
        <v>55</v>
      </c>
      <c r="S411" s="141"/>
    </row>
    <row r="412" spans="1:64" s="86" customFormat="1" ht="69.75" customHeight="1">
      <c r="A412" s="112" t="s">
        <v>1413</v>
      </c>
      <c r="B412" s="148" t="s">
        <v>1414</v>
      </c>
      <c r="C412" s="143">
        <f>"https://evtechexpo.com/"</f>
        <v>0</v>
      </c>
      <c r="D412" s="148" t="s">
        <v>809</v>
      </c>
      <c r="E412" s="116" t="s">
        <v>1415</v>
      </c>
      <c r="F412" s="148" t="s">
        <v>629</v>
      </c>
      <c r="G412" s="240" t="s">
        <v>1416</v>
      </c>
      <c r="H412" s="217" t="s">
        <v>1417</v>
      </c>
      <c r="I412" s="215" t="s">
        <v>1418</v>
      </c>
      <c r="J412" s="120" t="s">
        <v>1419</v>
      </c>
      <c r="K412" s="121">
        <f>"https://evtechexpo.com/contact-hybrid"</f>
        <v>0</v>
      </c>
      <c r="L412" s="212">
        <f>"Call for Speakers:  https://novi2020.c4p.eesubs.com/"</f>
        <v>0</v>
      </c>
      <c r="M412" s="123"/>
      <c r="N412" s="229" t="s">
        <v>1420</v>
      </c>
      <c r="O412" s="125"/>
      <c r="P412" s="148">
        <f aca="true" t="shared" si="5" ref="P412:P413">"https://findmanufacturingbuyers.com/"</f>
        <v>0</v>
      </c>
      <c r="Q412" s="126" t="s">
        <v>85</v>
      </c>
      <c r="R412" s="127" t="s">
        <v>86</v>
      </c>
      <c r="S412" s="85"/>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row>
    <row r="413" spans="1:64" s="86" customFormat="1" ht="74.25" customHeight="1">
      <c r="A413" s="311" t="s">
        <v>1421</v>
      </c>
      <c r="B413" s="312" t="s">
        <v>1422</v>
      </c>
      <c r="C413" s="114">
        <f>"https://thebatteryshow.com/"</f>
        <v>0</v>
      </c>
      <c r="D413" s="148" t="s">
        <v>809</v>
      </c>
      <c r="E413" s="116" t="s">
        <v>1415</v>
      </c>
      <c r="F413" s="148" t="s">
        <v>1423</v>
      </c>
      <c r="G413" s="230">
        <f>"&amp;hellip; today&amp;rsquo;s battery applications &amp;hellip; don&amp;rsquo;t just power our daily lives &amp;mdash; they transform how we travel, interact, and manufacture."</f>
        <v>0</v>
      </c>
      <c r="H413" s="118" t="s">
        <v>1424</v>
      </c>
      <c r="I413" s="231" t="s">
        <v>1425</v>
      </c>
      <c r="J413" s="232" t="s">
        <v>1426</v>
      </c>
      <c r="K413" s="233">
        <f>"https://thebatteryshow.com/contact-battery"</f>
        <v>0</v>
      </c>
      <c r="L413" s="212"/>
      <c r="M413" s="123"/>
      <c r="N413" s="229"/>
      <c r="O413" s="236"/>
      <c r="P413" s="237">
        <f t="shared" si="5"/>
        <v>0</v>
      </c>
      <c r="Q413" s="238" t="s">
        <v>85</v>
      </c>
      <c r="R413" s="127" t="s">
        <v>86</v>
      </c>
      <c r="S413" s="85"/>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row>
    <row r="414" spans="1:64" s="86" customFormat="1" ht="56.25" customHeight="1">
      <c r="A414" s="87" t="s">
        <v>1427</v>
      </c>
      <c r="B414" s="88" t="s">
        <v>1428</v>
      </c>
      <c r="C414" s="89">
        <f>"https://mailchi.mp/avere.org/the-avere-e-mobility-bulletin-evs32-wevj-avere-events-590118?e=f6ca89c8a5"</f>
        <v>0</v>
      </c>
      <c r="D414" s="130"/>
      <c r="E414" s="91" t="s">
        <v>1429</v>
      </c>
      <c r="F414" s="130" t="s">
        <v>1430</v>
      </c>
      <c r="G414" s="160">
        <f>"&amp;hellip; safety and fire experts &amp;hellip; will address &amp;hellip; why it is so important for the development of e-mobility &amp;hellip;"</f>
        <v>0</v>
      </c>
      <c r="H414" s="132">
        <f>"Dr. &lt;b&gt;Nils&amp;nbsp;Rosmuller&lt;/b&gt;, Appl. Prof. for Energy and Transport Safety, Inst. for Disaster Relief &amp; Public Crisis Mgm&amp;rsquop;nt"</f>
        <v>0</v>
      </c>
      <c r="I414" s="106"/>
      <c r="J414" s="107"/>
      <c r="K414" s="134"/>
      <c r="L414" s="159">
        <f>"Registration:  https://10times.com/e1s2-629s-pkgx/live"</f>
        <v>0</v>
      </c>
      <c r="M414" s="110"/>
      <c r="N414" s="98"/>
      <c r="O414" s="99"/>
      <c r="P414" s="130"/>
      <c r="Q414" s="187" t="s">
        <v>54</v>
      </c>
      <c r="R414" s="128" t="s">
        <v>55</v>
      </c>
      <c r="S414" s="85"/>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row>
    <row r="415" spans="1:64" s="86" customFormat="1" ht="42" customHeight="1">
      <c r="A415" s="87"/>
      <c r="B415" s="88"/>
      <c r="C415" s="89"/>
      <c r="D415" s="130"/>
      <c r="E415" s="91"/>
      <c r="F415" s="130"/>
      <c r="G415" s="160"/>
      <c r="H415" s="132">
        <f>"&lt;b&gt;St&amp;aring;le&amp;nbsp;Frydenlund&lt;/b&gt;, Sr. Advisor &amp; Test Mgr &amp;ndash; Norw. EV Assoc."</f>
        <v>0</v>
      </c>
      <c r="I415" s="106"/>
      <c r="J415" s="107"/>
      <c r="K415" s="134"/>
      <c r="L415" s="159" t="s">
        <v>1431</v>
      </c>
      <c r="M415" s="110"/>
      <c r="N415" s="98"/>
      <c r="O415" s="99"/>
      <c r="P415" s="130"/>
      <c r="Q415" s="187"/>
      <c r="R415" s="128"/>
      <c r="S415" s="85"/>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row>
    <row r="416" spans="1:64" ht="33.75" customHeight="1">
      <c r="A416" s="87" t="s">
        <v>1432</v>
      </c>
      <c r="B416" s="130" t="s">
        <v>1433</v>
      </c>
      <c r="C416" s="89">
        <f>"https://www.itsamericaevents.com/its-all-access/en-us.html"</f>
        <v>0</v>
      </c>
      <c r="D416" s="130" t="s">
        <v>1434</v>
      </c>
      <c r="E416" s="91" t="s">
        <v>1435</v>
      </c>
      <c r="F416" s="130" t="s">
        <v>1436</v>
      </c>
      <c r="G416" s="306" t="s">
        <v>1437</v>
      </c>
      <c r="H416" s="132"/>
      <c r="I416" s="135">
        <f>"More info:  https://www.itsworldcongress2020.com/en-us/press/its-world-congress-los-angeles-2020-news---its-america-2021-atla.html"</f>
        <v>0</v>
      </c>
      <c r="J416" s="135"/>
      <c r="K416" s="241">
        <f>"Apply for Mailing List:  https://www.itsworldcongress2020.com/mailing-list"</f>
        <v>0</v>
      </c>
      <c r="L416" s="162">
        <f>"Call for Contributions:  https://itswc.confex.com/itswc/2020/cfp.cgi"</f>
        <v>0</v>
      </c>
      <c r="M416" s="204"/>
      <c r="N416" s="322" t="s">
        <v>1438</v>
      </c>
      <c r="O416" s="359" t="s">
        <v>1439</v>
      </c>
      <c r="P416" s="130">
        <f>"http://itsamerica.org/"</f>
        <v>0</v>
      </c>
      <c r="Q416" s="360" t="s">
        <v>54</v>
      </c>
      <c r="R416" s="128" t="s">
        <v>55</v>
      </c>
      <c r="S416" s="85"/>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row>
    <row r="417" spans="1:64" ht="63.75" customHeight="1">
      <c r="A417" s="87"/>
      <c r="B417" s="130"/>
      <c r="C417" s="89"/>
      <c r="D417" s="130"/>
      <c r="E417" s="91"/>
      <c r="F417" s="130"/>
      <c r="G417" s="132">
        <f>"registration:  https://www.itsamericaevents.com/its-all-access/en-us/registration-information.html"</f>
        <v>0</v>
      </c>
      <c r="H417" s="365" t="s">
        <v>1440</v>
      </c>
      <c r="I417" s="135"/>
      <c r="J417" s="135"/>
      <c r="K417" s="241"/>
      <c r="L417" s="162">
        <f>"DEMONSTRATIONS:  https://www.itsworldcongress2020.com/demonstrations-1"</f>
        <v>0</v>
      </c>
      <c r="M417" s="204">
        <f>"https://www.itsworldcongress2020.com/s/DemonstrationsApplication-ascw.docx"</f>
        <v>0</v>
      </c>
      <c r="N417" s="322" t="s">
        <v>1441</v>
      </c>
      <c r="O417" s="359"/>
      <c r="P417" s="130"/>
      <c r="Q417" s="360"/>
      <c r="R417" s="128"/>
      <c r="S417" s="85"/>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row>
    <row r="418" spans="1:64" s="86" customFormat="1" ht="46.5" customHeight="1">
      <c r="A418" s="112" t="s">
        <v>637</v>
      </c>
      <c r="B418" s="148" t="s">
        <v>638</v>
      </c>
      <c r="C418" s="143">
        <f>"http://www.ievexpo.org/eng/"</f>
        <v>0</v>
      </c>
      <c r="D418" s="148" t="s">
        <v>639</v>
      </c>
      <c r="E418" s="466" t="s">
        <v>1442</v>
      </c>
      <c r="F418" s="148" t="s">
        <v>641</v>
      </c>
      <c r="G418" s="240" t="s">
        <v>642</v>
      </c>
      <c r="H418" s="217"/>
      <c r="I418" s="119"/>
      <c r="J418" s="120" t="s">
        <v>644</v>
      </c>
      <c r="K418" s="241">
        <f>"mailto:ieve@ievexpo.org"</f>
        <v>0</v>
      </c>
      <c r="L418" s="212">
        <f>"Conference schedule:  http://www.ievexpo.org/site/ieve2018/eng/contents/index.php?mid=0401"</f>
        <v>0</v>
      </c>
      <c r="M418" s="123" t="s">
        <v>891</v>
      </c>
      <c r="N418" s="123"/>
      <c r="O418" s="125"/>
      <c r="P418" s="148"/>
      <c r="Q418" s="126" t="s">
        <v>54</v>
      </c>
      <c r="R418" s="213" t="s">
        <v>55</v>
      </c>
      <c r="S418" s="85"/>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row>
    <row r="419" spans="1:64" s="86" customFormat="1" ht="46.5" customHeight="1">
      <c r="A419" s="112"/>
      <c r="B419" s="148"/>
      <c r="C419" s="143"/>
      <c r="D419" s="148"/>
      <c r="E419" s="466"/>
      <c r="F419" s="148"/>
      <c r="G419" s="240"/>
      <c r="H419" s="217"/>
      <c r="I419" s="119"/>
      <c r="J419" s="120" t="s">
        <v>645</v>
      </c>
      <c r="K419" s="241"/>
      <c r="L419" s="212"/>
      <c r="M419" s="123"/>
      <c r="N419" s="123"/>
      <c r="O419" s="125"/>
      <c r="P419" s="148"/>
      <c r="Q419" s="126"/>
      <c r="R419" s="213"/>
      <c r="S419" s="85"/>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row>
    <row r="420" spans="1:64" s="86" customFormat="1" ht="39.75" customHeight="1">
      <c r="A420" s="311" t="s">
        <v>1443</v>
      </c>
      <c r="B420" s="387" t="s">
        <v>1444</v>
      </c>
      <c r="C420" s="114">
        <f>"https://www.sae.org/attend/naipc/"</f>
        <v>0</v>
      </c>
      <c r="D420" s="148" t="s">
        <v>290</v>
      </c>
      <c r="E420" s="239">
        <f>"2019/09/16 – 18"</f>
        <v>0</v>
      </c>
      <c r="F420" s="148" t="s">
        <v>1445</v>
      </c>
      <c r="G420" s="467" t="s">
        <v>1446</v>
      </c>
      <c r="H420" s="217">
        <f>"By invitation only:  https://www.sae.org/attend/naipc/invite"</f>
        <v>0</v>
      </c>
      <c r="I420" s="236"/>
      <c r="J420" s="232"/>
      <c r="K420" s="233"/>
      <c r="L420" s="276" t="s">
        <v>757</v>
      </c>
      <c r="M420" s="265"/>
      <c r="N420" s="277"/>
      <c r="O420" s="236" t="s">
        <v>83</v>
      </c>
      <c r="P420" s="387">
        <f>"https://www.sae.org/attend/"</f>
        <v>0</v>
      </c>
      <c r="Q420" s="468" t="s">
        <v>54</v>
      </c>
      <c r="R420" s="213" t="s">
        <v>55</v>
      </c>
      <c r="S420" s="85"/>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row>
    <row r="421" spans="1:64" ht="65.25" customHeight="1">
      <c r="A421" s="311"/>
      <c r="B421" s="387"/>
      <c r="C421" s="114">
        <f>"Alt. Link:  https://10times.com/sae-north-american-international-powertrain-conference"</f>
        <v>0</v>
      </c>
      <c r="D421" s="148"/>
      <c r="E421" s="239"/>
      <c r="F421" s="148"/>
      <c r="G421" s="469" t="s">
        <v>1447</v>
      </c>
      <c r="H421" s="217"/>
      <c r="I421" s="236"/>
      <c r="J421" s="232"/>
      <c r="K421" s="233"/>
      <c r="L421" s="276"/>
      <c r="M421" s="265"/>
      <c r="N421" s="277"/>
      <c r="O421" s="236"/>
      <c r="P421" s="387"/>
      <c r="Q421" s="468"/>
      <c r="R421" s="213"/>
      <c r="S421" s="85"/>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row>
    <row r="422" spans="1:64" s="86" customFormat="1" ht="65.25" customHeight="1">
      <c r="A422" s="470">
        <f>"Collaborate To Innovate (C2I) Awards (Contest, UK only)"</f>
        <v>0</v>
      </c>
      <c r="B422" s="387" t="s">
        <v>1448</v>
      </c>
      <c r="C422" s="114">
        <f>"https://awards.theengineer.co.uk/"</f>
        <v>0</v>
      </c>
      <c r="D422" s="148"/>
      <c r="E422" s="239">
        <f>"Closing date:  2020/09/18)"</f>
        <v>0</v>
      </c>
      <c r="F422" s="148" t="s">
        <v>1449</v>
      </c>
      <c r="G422" s="471">
        <f>"Are you involved in a UK-led engineering project with genuine innovation at its core?&amp;nbsp; Are you collaborating with partners from other organisations or research groups to achieve this?"</f>
        <v>0</v>
      </c>
      <c r="H422" s="217" t="s">
        <v>1450</v>
      </c>
      <c r="I422" s="236"/>
      <c r="J422" s="232"/>
      <c r="K422" s="233">
        <f>"https://awards.theengineer.co.uk/contact-us"</f>
        <v>0</v>
      </c>
      <c r="L422" s="212">
        <f>"Categories:  https://awards.theengineer.co.uk/categories"</f>
        <v>0</v>
      </c>
      <c r="M422" s="234">
        <f>"Entry Form:  https://awards.theengineer.co.uk/enter-awards"</f>
        <v>0</v>
      </c>
      <c r="N422" s="277" t="s">
        <v>1451</v>
      </c>
      <c r="O422" s="236" t="s">
        <v>1452</v>
      </c>
      <c r="P422" s="387">
        <f>"https://www.theengineer.co.uk/"</f>
        <v>0</v>
      </c>
      <c r="Q422" s="468" t="s">
        <v>54</v>
      </c>
      <c r="R422" s="213" t="s">
        <v>55</v>
      </c>
      <c r="S422" s="85"/>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row>
    <row r="423" spans="1:19" s="27" customFormat="1" ht="73.5" customHeight="1">
      <c r="A423" s="87" t="s">
        <v>1341</v>
      </c>
      <c r="B423" s="88" t="s">
        <v>1453</v>
      </c>
      <c r="C423" s="89">
        <f>"https://www.sae.org/learn/content/c1630/"</f>
        <v>0</v>
      </c>
      <c r="D423" s="183" t="s">
        <v>389</v>
      </c>
      <c r="E423" s="91" t="s">
        <v>1454</v>
      </c>
      <c r="F423" s="183" t="s">
        <v>1344</v>
      </c>
      <c r="G423" s="306" t="s">
        <v>1345</v>
      </c>
      <c r="H423" s="132">
        <f>"Instructor: Yuxiang Jiang, Ph.D."</f>
        <v>0</v>
      </c>
      <c r="I423" s="199"/>
      <c r="J423" s="472"/>
      <c r="K423" s="187"/>
      <c r="L423" s="199" t="s">
        <v>1455</v>
      </c>
      <c r="M423" s="176" t="s">
        <v>395</v>
      </c>
      <c r="N423" s="181"/>
      <c r="O423" s="99" t="s">
        <v>396</v>
      </c>
      <c r="P423" s="183" t="s">
        <v>397</v>
      </c>
      <c r="Q423" s="100" t="s">
        <v>54</v>
      </c>
      <c r="R423" s="128" t="s">
        <v>55</v>
      </c>
      <c r="S423" s="85"/>
    </row>
    <row r="424" spans="1:19" s="27" customFormat="1" ht="92.25" customHeight="1">
      <c r="A424" s="165" t="s">
        <v>1456</v>
      </c>
      <c r="B424" s="473" t="s">
        <v>1457</v>
      </c>
      <c r="C424" s="89">
        <f>"https://event.on24.com/eventRegistration/EventLobbyServlet?target=reg20.jsp&amp;partnerref=DNNewsletter99&amp;elq_mid=14326&amp;elq_cid=156211&amp;eventid=2637495&amp;sessionid=1&amp;key=8F08DF836CA127AB5315BAEF38E13C87&amp;regTag=&amp;sourcepage=register"</f>
        <v>0</v>
      </c>
      <c r="D424" s="89"/>
      <c r="E424" s="188" t="s">
        <v>1458</v>
      </c>
      <c r="F424" s="183" t="s">
        <v>1459</v>
      </c>
      <c r="G424" s="474">
        <f>"&amp;hellip; emerging 5G &amp;hellip; technology is addressing the shortcomings of DSRC and 4G-cellular LTE to enable advanced driver assistance systems (ADAS)."</f>
        <v>0</v>
      </c>
      <c r="H424" s="132">
        <f>"&lt;b&gt;Tim&amp;nbsp;Talty&lt;/b&gt;, Colleg. Prof. &amp; Dir. of Admissions, Masters of Eng. Prog., VA Tech, Coll. of Eng."</f>
        <v>0</v>
      </c>
      <c r="I424" s="175"/>
      <c r="J424" s="473"/>
      <c r="K424" s="181"/>
      <c r="L424" s="99"/>
      <c r="M424" s="473"/>
      <c r="N424" s="177"/>
      <c r="O424" s="175"/>
      <c r="P424" s="473"/>
      <c r="Q424" s="177" t="s">
        <v>54</v>
      </c>
      <c r="R424" s="128" t="s">
        <v>55</v>
      </c>
      <c r="S424" s="85"/>
    </row>
    <row r="425" spans="1:19" s="27" customFormat="1" ht="90.75" customHeight="1">
      <c r="A425" s="165" t="s">
        <v>1460</v>
      </c>
      <c r="B425" s="473" t="s">
        <v>1461</v>
      </c>
      <c r="C425" s="89">
        <f>"https://teslasciencecenter.org/events/historic-wardenclyffe-chimney-restoration-event/"</f>
        <v>0</v>
      </c>
      <c r="D425" s="89" t="s">
        <v>488</v>
      </c>
      <c r="E425" s="188" t="s">
        <v>1462</v>
      </c>
      <c r="F425" s="183" t="s">
        <v>1463</v>
      </c>
      <c r="G425" s="474">
        <f>"A 112-year-old chimney crown designed by architect Stanford White for inventor Nikola Tesla’s Wardenclyffe laboratory is being restored to its original spot &amp;hellip;"</f>
        <v>0</v>
      </c>
      <c r="H425" s="132"/>
      <c r="I425" s="175"/>
      <c r="J425" s="473"/>
      <c r="K425" s="181"/>
      <c r="L425" s="99">
        <f>"Mandatory Free registration (online):  https://teslasciencecenter.z2systems.com/np/clients/teslasciencecenter/eventregistration.jsp?event=667&amp;"</f>
        <v>0</v>
      </c>
      <c r="M425" s="473">
        <f>"Mandatory Free registration (in-person):  https://teslasciencecenter.z2systems.com/np/clients/teslasciencecenter/eventregistration.jsp?event=647&amp;"</f>
        <v>0</v>
      </c>
      <c r="N425" s="177"/>
      <c r="O425" s="175" t="s">
        <v>66</v>
      </c>
      <c r="P425" s="473" t="s">
        <v>662</v>
      </c>
      <c r="Q425" s="177" t="s">
        <v>67</v>
      </c>
      <c r="R425" s="101" t="s">
        <v>68</v>
      </c>
      <c r="S425" s="85"/>
    </row>
    <row r="426" spans="1:64" ht="52.5" customHeight="1">
      <c r="A426" s="87" t="s">
        <v>1464</v>
      </c>
      <c r="B426" s="88" t="s">
        <v>1465</v>
      </c>
      <c r="C426" s="89">
        <f>"https://www.ieee-itsc2020.org/"</f>
        <v>0</v>
      </c>
      <c r="D426" s="90" t="s">
        <v>1466</v>
      </c>
      <c r="E426" s="91" t="s">
        <v>1467</v>
      </c>
      <c r="F426" s="90" t="s">
        <v>1468</v>
      </c>
      <c r="G426" s="104" t="s">
        <v>1469</v>
      </c>
      <c r="H426" s="132">
        <f>"Registration:  https://www.ieee-itsc2020.org/registration/"</f>
        <v>0</v>
      </c>
      <c r="I426" s="106"/>
      <c r="J426" s="107"/>
      <c r="K426" s="108"/>
      <c r="L426" s="145">
        <f>"https://www.ieee-itsc2020.org/for-authors/call-for-papers/"</f>
        <v>0</v>
      </c>
      <c r="M426" s="123">
        <f>"Detailed Instructions:  https://34.66.158.215/wp-content/uploads/2019/09/IEEE-ITSC-2020-CfP.pdf"</f>
        <v>0</v>
      </c>
      <c r="N426" s="475">
        <f>"Special Session &amp; Regular papers:  2020/03/08 (extended from 03/02 and 02/14)"</f>
        <v>0</v>
      </c>
      <c r="O426" s="99" t="s">
        <v>519</v>
      </c>
      <c r="P426" s="130" t="s">
        <v>520</v>
      </c>
      <c r="Q426" s="187" t="s">
        <v>54</v>
      </c>
      <c r="R426" s="128" t="s">
        <v>55</v>
      </c>
      <c r="S426" s="85"/>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row>
    <row r="427" spans="1:64" ht="50.25" customHeight="1">
      <c r="A427" s="87"/>
      <c r="B427" s="88"/>
      <c r="C427" s="89"/>
      <c r="D427" s="90"/>
      <c r="E427" s="91"/>
      <c r="F427" s="90"/>
      <c r="G427" s="104"/>
      <c r="H427" s="132"/>
      <c r="I427" s="106"/>
      <c r="J427" s="107"/>
      <c r="K427" s="108"/>
      <c r="L427" s="159" t="s">
        <v>1470</v>
      </c>
      <c r="M427" s="110">
        <f>"Important Dates:  https://www.ieee-itsc2020.org/for-authors/important-dates/"</f>
        <v>0</v>
      </c>
      <c r="N427" s="475">
        <f>"Special Session, Workshop, Panel &amp; Tutorial Proposals:  2020/01/31"</f>
        <v>0</v>
      </c>
      <c r="O427" s="99"/>
      <c r="P427" s="130"/>
      <c r="Q427" s="187"/>
      <c r="R427" s="128"/>
      <c r="S427" s="85"/>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row>
    <row r="428" spans="1:64" ht="42" customHeight="1">
      <c r="A428" s="87"/>
      <c r="B428" s="88"/>
      <c r="C428" s="89"/>
      <c r="D428" s="90"/>
      <c r="E428" s="91"/>
      <c r="F428" s="90"/>
      <c r="G428" s="104"/>
      <c r="H428" s="132"/>
      <c r="I428" s="106"/>
      <c r="J428" s="107"/>
      <c r="K428" s="108"/>
      <c r="L428" s="159"/>
      <c r="M428" s="110"/>
      <c r="N428" s="475">
        <f>"Workshop papers:  2020/03/12 (extended from 02/28)"</f>
        <v>0</v>
      </c>
      <c r="O428" s="99"/>
      <c r="P428" s="130"/>
      <c r="Q428" s="187"/>
      <c r="R428" s="128"/>
      <c r="S428" s="85"/>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row>
    <row r="429" spans="1:19" s="86" customFormat="1" ht="51.75" customHeight="1">
      <c r="A429" s="87" t="s">
        <v>1471</v>
      </c>
      <c r="B429" s="88" t="s">
        <v>1472</v>
      </c>
      <c r="C429" s="89">
        <f>"http://www.trb.org/Main/Blurbs/181063.aspx"</f>
        <v>0</v>
      </c>
      <c r="D429" s="130"/>
      <c r="E429" s="91" t="s">
        <v>1473</v>
      </c>
      <c r="F429" s="130" t="s">
        <v>1474</v>
      </c>
      <c r="G429" s="104">
        <f>"&amp;hellip; discuss long-distance intercity travel models [using] integrated air and surface mode choice, social media data, and activity-based methods."</f>
        <v>0</v>
      </c>
      <c r="H429" s="132">
        <f>"Overview of &amp;hellip; modeling in US:&amp;nbsp; &lt;b&gt;Lisa&amp;nbsp;Aultman&amp;#8209;Hall&lt;/b&gt;, Univ. of Vermont"</f>
        <v>0</v>
      </c>
      <c r="I429" s="301"/>
      <c r="J429" s="198"/>
      <c r="K429" s="302">
        <f>"mailto:rgillum@nas.edu?subject=Question%20about%20Sept%2021%20webinar"</f>
        <v>0</v>
      </c>
      <c r="L429" s="109" t="s">
        <v>577</v>
      </c>
      <c r="M429" s="109">
        <f>"registration: https://webinar.mytrb.org/Home/Login?WebinarID=1416"</f>
        <v>0</v>
      </c>
      <c r="N429" s="303"/>
      <c r="O429" s="99" t="s">
        <v>125</v>
      </c>
      <c r="P429" s="130" t="s">
        <v>319</v>
      </c>
      <c r="Q429" s="100" t="s">
        <v>54</v>
      </c>
      <c r="R429" s="128" t="s">
        <v>55</v>
      </c>
      <c r="S429" s="141"/>
    </row>
    <row r="430" spans="1:19" s="86" customFormat="1" ht="54" customHeight="1">
      <c r="A430" s="87"/>
      <c r="B430" s="88"/>
      <c r="C430" s="89"/>
      <c r="D430" s="130"/>
      <c r="E430" s="91"/>
      <c r="F430" s="130"/>
      <c r="G430" s="104"/>
      <c r="H430" s="132">
        <f>"Developing integrated &amp;hellip; models:&amp;nbsp; &lt;b&gt;Jeffrey&amp;nbsp;LaMondia&lt;/b&gt;, Auburn University"</f>
        <v>0</v>
      </c>
      <c r="I430" s="301"/>
      <c r="J430" s="198"/>
      <c r="K430" s="302"/>
      <c r="L430" s="109"/>
      <c r="M430" s="109"/>
      <c r="N430" s="303"/>
      <c r="O430" s="99"/>
      <c r="P430" s="130"/>
      <c r="Q430" s="100"/>
      <c r="R430" s="128"/>
      <c r="S430" s="141"/>
    </row>
    <row r="431" spans="1:19" s="86" customFormat="1" ht="51" customHeight="1">
      <c r="A431" s="87"/>
      <c r="B431" s="88"/>
      <c r="C431" s="89">
        <f>"Description:  https://content.govdelivery.com/accounts/USNASTRB/bulletins/2989aa2"</f>
        <v>0</v>
      </c>
      <c r="D431" s="130"/>
      <c r="E431" s="91"/>
      <c r="F431" s="130"/>
      <c r="G431" s="104"/>
      <c r="H431" s="132">
        <f>"Social media data for &amp;hellip;; model:&amp;nbsp; &lt;b&gt;Rolf&amp;nbsp;Moeckel&lt;/b&gt;, Technical University of Munich"</f>
        <v>0</v>
      </c>
      <c r="I431" s="301"/>
      <c r="J431" s="198"/>
      <c r="K431" s="302"/>
      <c r="L431" s="109"/>
      <c r="M431" s="109"/>
      <c r="N431" s="303"/>
      <c r="O431" s="99"/>
      <c r="P431" s="130"/>
      <c r="Q431" s="100"/>
      <c r="R431" s="128"/>
      <c r="S431" s="141"/>
    </row>
    <row r="432" spans="1:19" s="86" customFormat="1" ht="40.5" customHeight="1">
      <c r="A432" s="87"/>
      <c r="B432" s="88"/>
      <c r="C432" s="89"/>
      <c r="D432" s="130"/>
      <c r="E432" s="91"/>
      <c r="F432" s="130"/>
      <c r="G432" s="104"/>
      <c r="H432" s="132">
        <f>"&amp;hellip; model for corridor planning:&amp;nbsp; &lt;b&gt;Maren&amp;nbsp;Outwater&lt;/b&gt;, RSG Inc."</f>
        <v>0</v>
      </c>
      <c r="I432" s="301"/>
      <c r="J432" s="198"/>
      <c r="K432" s="302"/>
      <c r="L432" s="109"/>
      <c r="M432" s="109"/>
      <c r="N432" s="303"/>
      <c r="O432" s="99"/>
      <c r="P432" s="130"/>
      <c r="Q432" s="100"/>
      <c r="R432" s="128"/>
      <c r="S432" s="141"/>
    </row>
    <row r="433" spans="1:19" s="86" customFormat="1" ht="40.5" customHeight="1">
      <c r="A433" s="87"/>
      <c r="B433" s="88"/>
      <c r="C433" s="89"/>
      <c r="D433" s="130"/>
      <c r="E433" s="91"/>
      <c r="F433" s="130"/>
      <c r="G433" s="104"/>
      <c r="H433" s="132">
        <f>"Question and answer session: Moderated by &lt;b&gt;Lisa&amp;nbsp;Aultman&amp;#8209;Hall&lt;/b&gt;"</f>
        <v>0</v>
      </c>
      <c r="I433" s="301"/>
      <c r="J433" s="198"/>
      <c r="K433" s="302"/>
      <c r="L433" s="109"/>
      <c r="M433" s="109"/>
      <c r="N433" s="303"/>
      <c r="O433" s="99"/>
      <c r="P433" s="130"/>
      <c r="Q433" s="100"/>
      <c r="R433" s="128"/>
      <c r="S433" s="141"/>
    </row>
    <row r="434" spans="1:64" ht="36" customHeight="1">
      <c r="A434" s="112" t="s">
        <v>1475</v>
      </c>
      <c r="B434" s="115" t="s">
        <v>1476</v>
      </c>
      <c r="C434" s="115">
        <f>"https://itsinceeurope.com/"</f>
        <v>0</v>
      </c>
      <c r="D434" s="115" t="s">
        <v>1477</v>
      </c>
      <c r="E434" s="116" t="s">
        <v>1478</v>
      </c>
      <c r="F434" s="115" t="s">
        <v>1479</v>
      </c>
      <c r="G434" s="346" t="s">
        <v>1480</v>
      </c>
      <c r="H434" s="351" t="s">
        <v>891</v>
      </c>
      <c r="I434" s="348"/>
      <c r="J434" s="256"/>
      <c r="K434" s="349">
        <f>"Why Attend:  https://itsinceeurope.com/what-to-expect/"</f>
        <v>0</v>
      </c>
      <c r="L434" s="476">
        <f>"https://erticonetwork.com/its-european-congress-2020-call-for-contributions-now-open/"</f>
        <v>0</v>
      </c>
      <c r="M434" s="477">
        <f>"Portal:  https://programme.itsineurope2020.com/login"</f>
        <v>0</v>
      </c>
      <c r="N434" s="478" t="s">
        <v>733</v>
      </c>
      <c r="O434" s="222" t="s">
        <v>734</v>
      </c>
      <c r="P434" s="115">
        <f>"https://itsineurope.com/"</f>
        <v>0</v>
      </c>
      <c r="Q434" s="223" t="s">
        <v>54</v>
      </c>
      <c r="R434" s="224" t="s">
        <v>55</v>
      </c>
      <c r="S434" s="85"/>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row>
    <row r="435" spans="1:64" ht="15.75" customHeight="1">
      <c r="A435" s="112"/>
      <c r="B435" s="115"/>
      <c r="C435" s="115"/>
      <c r="D435" s="115"/>
      <c r="E435" s="115"/>
      <c r="F435" s="115"/>
      <c r="G435" s="346"/>
      <c r="H435" s="351"/>
      <c r="I435" s="348"/>
      <c r="J435" s="256"/>
      <c r="K435" s="349"/>
      <c r="L435" s="476">
        <f>"https://itseuropeancongress.com/submissions/"</f>
        <v>0</v>
      </c>
      <c r="M435" s="478" t="s">
        <v>735</v>
      </c>
      <c r="N435" s="478"/>
      <c r="O435" s="222"/>
      <c r="P435" s="115"/>
      <c r="Q435" s="223"/>
      <c r="R435" s="224"/>
      <c r="S435" s="85"/>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row>
    <row r="436" spans="1:64" ht="50.25" customHeight="1">
      <c r="A436" s="112"/>
      <c r="B436" s="115"/>
      <c r="C436" s="115"/>
      <c r="D436" s="115"/>
      <c r="E436" s="115"/>
      <c r="F436" s="115"/>
      <c r="G436" s="346"/>
      <c r="H436" s="351"/>
      <c r="I436" s="348"/>
      <c r="J436" s="256"/>
      <c r="K436" s="349"/>
      <c r="L436" s="476">
        <f>"Brochure:  https://itseuropeancongress.com/wp-content/uploads/2019/09/Call-for-Contributions_final.pdf"</f>
        <v>0</v>
      </c>
      <c r="M436" s="478"/>
      <c r="N436" s="478"/>
      <c r="O436" s="222"/>
      <c r="P436" s="115"/>
      <c r="Q436" s="223"/>
      <c r="R436" s="224"/>
      <c r="S436" s="85"/>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row>
    <row r="437" spans="1:64" s="24" customFormat="1" ht="38.25" customHeight="1">
      <c r="A437" s="279" t="s">
        <v>514</v>
      </c>
      <c r="B437" s="280" t="s">
        <v>1481</v>
      </c>
      <c r="C437" s="281">
        <f>"https://icmim-ieee.org/index.html"</f>
        <v>0</v>
      </c>
      <c r="D437" s="282" t="s">
        <v>1482</v>
      </c>
      <c r="E437" s="283" t="s">
        <v>1483</v>
      </c>
      <c r="F437" s="282" t="s">
        <v>517</v>
      </c>
      <c r="G437" s="284">
        <f>"&amp;hellip; covers all key enabling technologies for intelligent mobility, &amp;hellip;"</f>
        <v>0</v>
      </c>
      <c r="H437" s="367" t="s">
        <v>1484</v>
      </c>
      <c r="I437" s="286"/>
      <c r="J437" s="282"/>
      <c r="K437" s="287">
        <f>"https://icmim-ieee.org/contact-us.html"</f>
        <v>0</v>
      </c>
      <c r="L437" s="479">
        <f>"https://icmim-ieee.org/author-information/paper-submission.html"</f>
        <v>0</v>
      </c>
      <c r="M437" s="480" t="s">
        <v>518</v>
      </c>
      <c r="N437" s="294" t="s">
        <v>89</v>
      </c>
      <c r="O437" s="286" t="s">
        <v>519</v>
      </c>
      <c r="P437" s="282" t="s">
        <v>520</v>
      </c>
      <c r="Q437" s="287" t="s">
        <v>54</v>
      </c>
      <c r="R437" s="289" t="s">
        <v>55</v>
      </c>
      <c r="S437" s="85"/>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row>
    <row r="438" spans="1:64" s="24" customFormat="1" ht="54" customHeight="1">
      <c r="A438" s="279"/>
      <c r="B438" s="280"/>
      <c r="C438" s="281"/>
      <c r="D438" s="282"/>
      <c r="E438" s="283"/>
      <c r="F438" s="282"/>
      <c r="G438" s="284"/>
      <c r="H438" s="367" t="s">
        <v>1485</v>
      </c>
      <c r="I438" s="286"/>
      <c r="J438" s="282"/>
      <c r="K438" s="287"/>
      <c r="L438" s="479">
        <f>"Technical Areas:  https://icmim-ieee.org/author-information/technical-areas.html"</f>
        <v>0</v>
      </c>
      <c r="M438" s="480">
        <f>"Author information:  https://icmim-ieee.org/author-information.html"</f>
        <v>0</v>
      </c>
      <c r="N438" s="294"/>
      <c r="O438" s="286" t="s">
        <v>521</v>
      </c>
      <c r="P438" s="282">
        <f>"https://www.mtt.org/"</f>
        <v>0</v>
      </c>
      <c r="Q438" s="287"/>
      <c r="R438" s="289"/>
      <c r="S438" s="85"/>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row>
    <row r="439" spans="1:19" s="27" customFormat="1" ht="78.75" customHeight="1">
      <c r="A439" s="320" t="s">
        <v>1486</v>
      </c>
      <c r="B439" s="321" t="s">
        <v>1487</v>
      </c>
      <c r="C439" s="322">
        <f>"http://kazandigitalweek.com./en/intelligent-transport-systems/"</f>
        <v>0</v>
      </c>
      <c r="D439" s="323"/>
      <c r="E439" s="324" t="s">
        <v>1478</v>
      </c>
      <c r="F439" s="323" t="s">
        <v>1488</v>
      </c>
      <c r="G439" s="325">
        <f>"&amp;hellip; leading&amp;hellip; experts, scientists and engineers in the field &amp;hellip; will discuss promising areas of research and share their experience in &amp;hellip; advanced mobility."</f>
        <v>0</v>
      </c>
      <c r="H439" s="326"/>
      <c r="I439" s="203"/>
      <c r="J439" s="323"/>
      <c r="K439" s="307">
        <f>"Contact Form:  http://kazandigitalweek.com./en/contacts/"</f>
        <v>0</v>
      </c>
      <c r="L439" s="481"/>
      <c r="M439" s="463"/>
      <c r="N439" s="98"/>
      <c r="O439" s="203" t="s">
        <v>734</v>
      </c>
      <c r="P439" s="323" t="s">
        <v>1489</v>
      </c>
      <c r="Q439" s="307" t="s">
        <v>54</v>
      </c>
      <c r="R439" s="333" t="s">
        <v>55</v>
      </c>
      <c r="S439" s="85"/>
    </row>
    <row r="440" spans="1:19" s="27" customFormat="1" ht="44.25" customHeight="1">
      <c r="A440" s="320" t="s">
        <v>1490</v>
      </c>
      <c r="B440" s="321" t="s">
        <v>1491</v>
      </c>
      <c r="C440" s="322">
        <f>"https://www.eeworldonline.com/highly-integrated-front-end-simplifies-design-36v-battery-packs/"</f>
        <v>0</v>
      </c>
      <c r="D440" s="322"/>
      <c r="E440" s="324" t="s">
        <v>1492</v>
      </c>
      <c r="F440" s="323" t="s">
        <v>1493</v>
      </c>
      <c r="G440" s="325" t="s">
        <v>1494</v>
      </c>
      <c r="H440" s="326">
        <f>"&lt;b&gt;Tad&amp;nbsp;Keeley&lt;/b&gt;, Sr. Prod. Marketing Mgr., Renesas Electronics"</f>
        <v>0</v>
      </c>
      <c r="I440" s="203"/>
      <c r="J440" s="323"/>
      <c r="K440" s="302"/>
      <c r="L440" s="398">
        <f>"registration:  https://event.on24.com/eventRegistration/EventLobbyServlet?target=reg20.jsp&amp;partnerref=landingpage&amp;eventid=2611495&amp;sessionid=1&amp;key=26297E494E35DA96CA47DCBDABB307A3&amp;regTag=&amp;sourcepage=register"</f>
        <v>0</v>
      </c>
      <c r="M440" s="97"/>
      <c r="N440" s="98"/>
      <c r="O440" s="203"/>
      <c r="P440" s="323"/>
      <c r="Q440" s="302" t="s">
        <v>54</v>
      </c>
      <c r="R440" s="333" t="s">
        <v>55</v>
      </c>
      <c r="S440" s="85"/>
    </row>
    <row r="441" spans="1:19" s="27" customFormat="1" ht="44.25" customHeight="1">
      <c r="A441" s="320"/>
      <c r="B441" s="321"/>
      <c r="C441" s="322"/>
      <c r="D441" s="322"/>
      <c r="E441" s="324"/>
      <c r="F441" s="324"/>
      <c r="G441" s="325"/>
      <c r="H441" s="326">
        <f>"Moderated by: &lt;b&gt;Lee&amp;nbsp;Teschler&lt;/b&gt;, Exec. Editor, EE World"</f>
        <v>0</v>
      </c>
      <c r="I441" s="203"/>
      <c r="J441" s="323"/>
      <c r="K441" s="302"/>
      <c r="L441" s="398"/>
      <c r="M441" s="97"/>
      <c r="N441" s="98"/>
      <c r="O441" s="203"/>
      <c r="P441" s="323"/>
      <c r="Q441" s="302"/>
      <c r="R441" s="333"/>
      <c r="S441" s="85"/>
    </row>
    <row r="442" spans="1:64" s="86" customFormat="1" ht="48.75" customHeight="1">
      <c r="A442" s="102" t="s">
        <v>1495</v>
      </c>
      <c r="B442" s="88" t="s">
        <v>1496</v>
      </c>
      <c r="C442" s="89">
        <f>"https://www.sae.org/attend/pfl/"</f>
        <v>0</v>
      </c>
      <c r="D442" s="130" t="s">
        <v>1497</v>
      </c>
      <c r="E442" s="91" t="s">
        <v>1498</v>
      </c>
      <c r="F442" s="183" t="s">
        <v>1499</v>
      </c>
      <c r="G442" s="160" t="s">
        <v>1500</v>
      </c>
      <c r="H442" s="132"/>
      <c r="I442" s="106"/>
      <c r="J442" s="198"/>
      <c r="K442" s="134"/>
      <c r="L442" s="159">
        <f>"Call for Papers / Presentations:  https://www.sae.org/binaries/content/assets/cm/content/attend/2020/pfl/2020-pfl-cfp-final.pdf"</f>
        <v>0</v>
      </c>
      <c r="M442" s="110">
        <f>"https://www.sae.org/servlets/techpapers/enterAbstractForPapers.do?method=formView&amp;evtSchedGenNum=277225&amp;prodGrpCd=SPEC&amp;evtName=FFL"</f>
        <v>0</v>
      </c>
      <c r="N442" s="146">
        <f>"Portal for abstracts opens:  2019/09/23"</f>
        <v>0</v>
      </c>
      <c r="O442" s="364" t="s">
        <v>83</v>
      </c>
      <c r="P442" s="130" t="s">
        <v>84</v>
      </c>
      <c r="Q442" s="100" t="s">
        <v>54</v>
      </c>
      <c r="R442" s="128" t="s">
        <v>55</v>
      </c>
      <c r="S442" s="85"/>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row>
    <row r="443" spans="1:19" s="86" customFormat="1" ht="48.75" customHeight="1">
      <c r="A443" s="102"/>
      <c r="B443" s="88"/>
      <c r="C443" s="89"/>
      <c r="D443" s="130"/>
      <c r="E443" s="188" t="s">
        <v>1501</v>
      </c>
      <c r="F443" s="183" t="s">
        <v>1502</v>
      </c>
      <c r="G443" s="160"/>
      <c r="H443" s="132"/>
      <c r="I443" s="106"/>
      <c r="J443" s="198"/>
      <c r="K443" s="134"/>
      <c r="L443" s="159"/>
      <c r="M443" s="110"/>
      <c r="N443" s="146">
        <f>"Paper offers:  2020/02/18"</f>
        <v>0</v>
      </c>
      <c r="O443" s="364"/>
      <c r="P443" s="130"/>
      <c r="Q443" s="100"/>
      <c r="R443" s="128"/>
      <c r="S443" s="141"/>
    </row>
    <row r="444" spans="1:64" ht="72" customHeight="1">
      <c r="A444" s="311" t="s">
        <v>1503</v>
      </c>
      <c r="B444" s="237" t="s">
        <v>1504</v>
      </c>
      <c r="C444" s="114">
        <f>"http://www.innotrans.de/en/"</f>
        <v>0</v>
      </c>
      <c r="D444" s="148" t="s">
        <v>218</v>
      </c>
      <c r="E444" s="239">
        <f>"2020/09/22 – 25"</f>
        <v>0</v>
      </c>
      <c r="F444" s="148" t="s">
        <v>1505</v>
      </c>
      <c r="G444" s="230" t="s">
        <v>1506</v>
      </c>
      <c r="H444" s="118" t="s">
        <v>891</v>
      </c>
      <c r="I444" s="476"/>
      <c r="J444" s="482"/>
      <c r="K444" s="343">
        <f>"https://www.innotrans.de/en/Extrapages/Contact/"</f>
        <v>0</v>
      </c>
      <c r="L444" s="341">
        <f>"Exhibitor's info:  https://www.virtualmarket.innotrans.de/en"</f>
        <v>0</v>
      </c>
      <c r="M444" s="234"/>
      <c r="N444" s="310"/>
      <c r="O444" s="236" t="s">
        <v>252</v>
      </c>
      <c r="P444" s="237">
        <f>"http://www.maglevboard.net/en/;   http://www.maglevboard.net/en/the-conferences"</f>
        <v>0</v>
      </c>
      <c r="Q444" s="238" t="s">
        <v>85</v>
      </c>
      <c r="R444" s="213" t="s">
        <v>55</v>
      </c>
      <c r="S444" s="85"/>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row>
    <row r="445" spans="1:64" s="86" customFormat="1" ht="53.25" customHeight="1">
      <c r="A445" s="87" t="s">
        <v>1507</v>
      </c>
      <c r="B445" s="130" t="s">
        <v>1508</v>
      </c>
      <c r="C445" s="89">
        <f>"http://www.trb.org/Main/Blurbs/181067.aspx"</f>
        <v>0</v>
      </c>
      <c r="D445" s="130"/>
      <c r="E445" s="209" t="s">
        <v>1509</v>
      </c>
      <c r="F445" s="130" t="s">
        <v>1510</v>
      </c>
      <c r="G445" s="160" t="s">
        <v>1511</v>
      </c>
      <c r="H445" s="105" t="s">
        <v>1512</v>
      </c>
      <c r="I445" s="250"/>
      <c r="J445" s="107"/>
      <c r="K445" s="483">
        <f>"mailto:rgillum@nas.edu?subject=Question%20about%20Sep%20RIP%20webinar"</f>
        <v>0</v>
      </c>
      <c r="L445" s="484">
        <f>"Mandatory Free Registration: https://webinar.mytrb.org/Webinars/Register/1417 (will prompt you to log in or join, if nec.)"</f>
        <v>0</v>
      </c>
      <c r="M445" s="173">
        <f>"Last year&amp;rsquo;s webinar:  https://webinar.mytrb.org/Webinars/Details/1298"</f>
        <v>0</v>
      </c>
      <c r="N445" s="180" t="s">
        <v>1513</v>
      </c>
      <c r="O445" s="99" t="s">
        <v>125</v>
      </c>
      <c r="P445" s="130" t="s">
        <v>319</v>
      </c>
      <c r="Q445" s="187" t="s">
        <v>54</v>
      </c>
      <c r="R445" s="128" t="s">
        <v>55</v>
      </c>
      <c r="S445" s="85"/>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row>
    <row r="446" spans="1:64" s="86" customFormat="1" ht="40.5" customHeight="1">
      <c r="A446" s="87"/>
      <c r="B446" s="130"/>
      <c r="C446" s="89"/>
      <c r="D446" s="130"/>
      <c r="E446" s="209"/>
      <c r="F446" s="209"/>
      <c r="G446" s="160"/>
      <c r="H446" s="105" t="s">
        <v>1514</v>
      </c>
      <c r="I446" s="250"/>
      <c r="J446" s="107"/>
      <c r="K446" s="483"/>
      <c r="L446" s="327">
        <f>"Last year&amp;rsquo;s Guide to RiP Database:  http://onlinepubs.trb.org/onlinepubs/webinars/190828.pdf  (28 pp.)"</f>
        <v>0</v>
      </c>
      <c r="M446" s="435">
        <f>"video version:  https://player.vimeo.com/video/356684462  (vimeo 1:00:50)"</f>
        <v>0</v>
      </c>
      <c r="N446" s="435"/>
      <c r="O446" s="99"/>
      <c r="P446" s="130"/>
      <c r="Q446" s="187"/>
      <c r="R446" s="128"/>
      <c r="S446" s="85"/>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row>
    <row r="447" spans="1:64" s="86" customFormat="1" ht="74.25" customHeight="1">
      <c r="A447" s="87">
        <f>"ACT Free Webinar:  Small Business Struggles: Busting Down Barriers to Installing EV Infrastructure"</f>
        <v>0</v>
      </c>
      <c r="B447" s="183" t="s">
        <v>1515</v>
      </c>
      <c r="C447" s="89">
        <f>"https://www.act-news.com/webinar/small-business-struggles-busting-down-barriers-to-installing-ev-infrastructure/"</f>
        <v>0</v>
      </c>
      <c r="D447" s="183" t="s">
        <v>1516</v>
      </c>
      <c r="E447" s="188" t="s">
        <v>1517</v>
      </c>
      <c r="F447" s="183" t="s">
        <v>1518</v>
      </c>
      <c r="G447" s="104">
        <f>"&amp;hellip; how to prepare for EVs by designing electric vehicle infrastructure (EVI) that fits the organization’s needs now and in the future."</f>
        <v>0</v>
      </c>
      <c r="H447" s="105"/>
      <c r="I447" s="250"/>
      <c r="J447" s="107"/>
      <c r="K447" s="485"/>
      <c r="L447" s="327">
        <f>"Registration:  http://subscribe.act-news.com/SDGE_September20Webinar_Registration"</f>
        <v>0</v>
      </c>
      <c r="M447" s="110"/>
      <c r="N447" s="110"/>
      <c r="O447" s="99" t="s">
        <v>1281</v>
      </c>
      <c r="P447" s="183" t="s">
        <v>1392</v>
      </c>
      <c r="Q447" s="187" t="s">
        <v>54</v>
      </c>
      <c r="R447" s="128" t="s">
        <v>55</v>
      </c>
      <c r="S447" s="85"/>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row>
    <row r="448" spans="1:64" s="86" customFormat="1" ht="40.5" customHeight="1">
      <c r="A448" s="102">
        <f>"SAE Free Webinar:&amp;nbsp; High-Voltage Arteries: How Connectivity Gives Life to Electric Vehicles"</f>
        <v>0</v>
      </c>
      <c r="B448" s="88" t="s">
        <v>1519</v>
      </c>
      <c r="C448" s="89">
        <f>"https://event.webcasts.com/starthere.jsp?ei=1349780&amp;tp_key=3f8d7ae9b4"</f>
        <v>0</v>
      </c>
      <c r="D448" s="90"/>
      <c r="E448" s="91" t="s">
        <v>1520</v>
      </c>
      <c r="F448" s="90" t="s">
        <v>1521</v>
      </c>
      <c r="G448" s="160">
        <f>"As vehicle power moves &amp;hellip; to electrical sources, electrical connections must support greater voltage and greater current while surviving a harsh transportation environment."</f>
        <v>0</v>
      </c>
      <c r="H448" s="132">
        <f>"&lt;b&gt;Michael&amp;nbsp;Brenner&lt;/b&gt;, Prod. Mgr, Hybrid &amp; Elec. Mobility Sol&amp;rsquo;ns, TE&amp;nbsp;Connectivity"</f>
        <v>0</v>
      </c>
      <c r="I448" s="106"/>
      <c r="J448" s="107"/>
      <c r="K448" s="134"/>
      <c r="L448" s="159"/>
      <c r="M448" s="110"/>
      <c r="N448" s="110"/>
      <c r="O448" s="203" t="s">
        <v>260</v>
      </c>
      <c r="P448" s="195" t="s">
        <v>1213</v>
      </c>
      <c r="Q448" s="360" t="s">
        <v>54</v>
      </c>
      <c r="R448" s="254" t="s">
        <v>55</v>
      </c>
      <c r="S448" s="85"/>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row>
    <row r="449" spans="1:64" s="86" customFormat="1" ht="27" customHeight="1">
      <c r="A449" s="102"/>
      <c r="B449" s="88"/>
      <c r="C449" s="89"/>
      <c r="D449" s="90"/>
      <c r="E449" s="90"/>
      <c r="F449" s="90"/>
      <c r="G449" s="160"/>
      <c r="H449" s="132" t="s">
        <v>1214</v>
      </c>
      <c r="I449" s="106"/>
      <c r="J449" s="107"/>
      <c r="K449" s="134"/>
      <c r="L449" s="159"/>
      <c r="M449" s="110"/>
      <c r="N449" s="110"/>
      <c r="O449" s="203"/>
      <c r="P449" s="195"/>
      <c r="Q449" s="360"/>
      <c r="R449" s="254"/>
      <c r="S449" s="85"/>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row>
    <row r="450" spans="1:64" s="86" customFormat="1" ht="19.5" customHeight="1">
      <c r="A450" s="87" t="s">
        <v>1522</v>
      </c>
      <c r="B450" s="90" t="s">
        <v>1523</v>
      </c>
      <c r="C450" s="89">
        <f>"https://driveelectricweek.org/"</f>
        <v>0</v>
      </c>
      <c r="D450" s="90" t="s">
        <v>1524</v>
      </c>
      <c r="E450" s="91" t="s">
        <v>1525</v>
      </c>
      <c r="F450" s="90" t="s">
        <v>1526</v>
      </c>
      <c r="G450" s="306" t="s">
        <v>1527</v>
      </c>
      <c r="H450" s="365" t="s">
        <v>1528</v>
      </c>
      <c r="I450" s="106"/>
      <c r="J450" s="107"/>
      <c r="K450" s="486"/>
      <c r="L450" s="327">
        <f>"2019 Events: https://driveelectricweek.org/events.php?year=2019#search-event"</f>
        <v>0</v>
      </c>
      <c r="M450" s="327"/>
      <c r="N450" s="327"/>
      <c r="O450" s="99" t="s">
        <v>1529</v>
      </c>
      <c r="P450" s="90" t="s">
        <v>1530</v>
      </c>
      <c r="Q450" s="100" t="s">
        <v>67</v>
      </c>
      <c r="R450" s="101" t="s">
        <v>68</v>
      </c>
      <c r="S450" s="85"/>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row>
    <row r="451" spans="1:64" s="86" customFormat="1" ht="19.5" customHeight="1">
      <c r="A451" s="87"/>
      <c r="B451" s="90"/>
      <c r="C451" s="89"/>
      <c r="D451" s="90"/>
      <c r="E451" s="91"/>
      <c r="F451" s="90"/>
      <c r="G451" s="306"/>
      <c r="H451" s="365"/>
      <c r="I451" s="106"/>
      <c r="J451" s="107"/>
      <c r="K451" s="486"/>
      <c r="L451" s="327">
        <f>"2020 Events:  https://driveelectricweek.org/events.php?year=2020#search-event"</f>
        <v>0</v>
      </c>
      <c r="M451" s="327"/>
      <c r="N451" s="327"/>
      <c r="O451" s="99"/>
      <c r="P451" s="90"/>
      <c r="Q451" s="100"/>
      <c r="R451" s="101"/>
      <c r="S451" s="85"/>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row>
    <row r="452" spans="1:64" s="86" customFormat="1" ht="19.5" customHeight="1">
      <c r="A452" s="87"/>
      <c r="B452" s="87"/>
      <c r="C452" s="87"/>
      <c r="D452" s="87"/>
      <c r="E452" s="91"/>
      <c r="F452" s="90"/>
      <c r="G452" s="306"/>
      <c r="H452" s="365"/>
      <c r="I452" s="106"/>
      <c r="J452" s="107"/>
      <c r="K452" s="486"/>
      <c r="L452" s="327">
        <f>"Volunteer to Organize an Event: https://driveelectricweek.org/volunteer.php?register"</f>
        <v>0</v>
      </c>
      <c r="M452" s="327"/>
      <c r="N452" s="327"/>
      <c r="O452" s="99"/>
      <c r="P452" s="90"/>
      <c r="Q452" s="100"/>
      <c r="R452" s="101"/>
      <c r="S452" s="85"/>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row>
    <row r="453" spans="1:64" s="86" customFormat="1" ht="19.5" customHeight="1">
      <c r="A453" s="87"/>
      <c r="B453" s="87"/>
      <c r="C453" s="87"/>
      <c r="D453" s="87"/>
      <c r="E453" s="91"/>
      <c r="F453" s="90"/>
      <c r="G453" s="306"/>
      <c r="H453" s="365"/>
      <c r="I453" s="106"/>
      <c r="J453" s="107"/>
      <c r="K453" s="486"/>
      <c r="L453" s="327">
        <f>"Learn about Hosting an Event:  https://driveelectricweek.org/resources.php"</f>
        <v>0</v>
      </c>
      <c r="M453" s="327"/>
      <c r="N453" s="327"/>
      <c r="O453" s="99"/>
      <c r="P453" s="90"/>
      <c r="Q453" s="100"/>
      <c r="R453" s="101"/>
      <c r="S453" s="85"/>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row>
    <row r="454" spans="1:64" s="86" customFormat="1" ht="19.5" customHeight="1">
      <c r="A454" s="87"/>
      <c r="B454" s="87"/>
      <c r="C454" s="87"/>
      <c r="D454" s="87"/>
      <c r="E454" s="91"/>
      <c r="F454" s="90"/>
      <c r="G454" s="306"/>
      <c r="H454" s="365"/>
      <c r="I454" s="106"/>
      <c r="J454" s="107"/>
      <c r="K454" s="486"/>
      <c r="L454" s="327">
        <f>"Sponsorship:  https://driveelectricweek.org/sponsorship.php"</f>
        <v>0</v>
      </c>
      <c r="M454" s="327"/>
      <c r="N454" s="327"/>
      <c r="O454" s="99"/>
      <c r="P454" s="90"/>
      <c r="Q454" s="100"/>
      <c r="R454" s="101"/>
      <c r="S454" s="85"/>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row>
    <row r="455" spans="1:64" s="86" customFormat="1" ht="32.25" customHeight="1">
      <c r="A455" s="87"/>
      <c r="B455" s="90"/>
      <c r="C455" s="89"/>
      <c r="D455" s="90"/>
      <c r="E455" s="91"/>
      <c r="F455" s="90"/>
      <c r="G455" s="306"/>
      <c r="H455" s="365"/>
      <c r="I455" s="106"/>
      <c r="J455" s="107"/>
      <c r="K455" s="486"/>
      <c r="L455" s="327">
        <f>"Find a local chapter:  https://eaa-1967.clubexpress.com/content.aspx?page_id=225&amp;club_id=222684  (Want to talk to a local EV owner/driver?)"</f>
        <v>0</v>
      </c>
      <c r="M455" s="327"/>
      <c r="N455" s="327"/>
      <c r="O455" s="99"/>
      <c r="P455" s="99"/>
      <c r="Q455" s="100"/>
      <c r="R455" s="101"/>
      <c r="S455" s="85"/>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row>
    <row r="456" spans="1:64" s="86" customFormat="1" ht="102" customHeight="1">
      <c r="A456" s="87" t="s">
        <v>832</v>
      </c>
      <c r="B456" s="88" t="s">
        <v>833</v>
      </c>
      <c r="C456" s="89">
        <f>"https://www.sae.org/attend/student-events/autodrive-challenge/"</f>
        <v>0</v>
      </c>
      <c r="D456" s="183" t="s">
        <v>1531</v>
      </c>
      <c r="E456" s="91" t="s">
        <v>1532</v>
      </c>
      <c r="F456" s="183" t="s">
        <v>836</v>
      </c>
      <c r="G456" s="306" t="s">
        <v>837</v>
      </c>
      <c r="H456" s="201"/>
      <c r="I456" s="135"/>
      <c r="J456" s="107"/>
      <c r="K456" s="108">
        <f>"https://www.sae.org/attend/student-events/autodrive-challenge/contact"</f>
        <v>0</v>
      </c>
      <c r="L456" s="145"/>
      <c r="M456" s="173"/>
      <c r="N456" s="400"/>
      <c r="O456" s="99" t="s">
        <v>83</v>
      </c>
      <c r="P456" s="183" t="s">
        <v>838</v>
      </c>
      <c r="Q456" s="100" t="s">
        <v>839</v>
      </c>
      <c r="R456" s="101" t="s">
        <v>86</v>
      </c>
      <c r="S456" s="85"/>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row>
    <row r="457" spans="1:64" s="86" customFormat="1" ht="29.25" customHeight="1">
      <c r="A457" s="87" t="s">
        <v>1533</v>
      </c>
      <c r="B457" s="88" t="s">
        <v>1534</v>
      </c>
      <c r="C457" s="89">
        <f>"https://content.myrai.nl/viewer?tid=TIDP2278750X6BB682ADBE9F47369DE5079ABD911AD9YI2"</f>
        <v>0</v>
      </c>
      <c r="D457" s="130"/>
      <c r="E457" s="91" t="s">
        <v>1535</v>
      </c>
      <c r="F457" s="130" t="s">
        <v>1536</v>
      </c>
      <c r="G457" s="104">
        <f>"Connected road networks help secure and connect intelligent transportation systems, &amp;hellip; resulting in a smoother flow of traffic, reducing congestion and improving our road safety."</f>
        <v>0</v>
      </c>
      <c r="H457" s="365">
        <f>"Moderated by:  &lt;b&gt;Paul&amp;nbsp;Hutton&lt;/b&gt;"</f>
        <v>0</v>
      </c>
      <c r="I457" s="301"/>
      <c r="J457" s="107"/>
      <c r="K457" s="134"/>
      <c r="L457" s="96">
        <f>"registration:  https://registration.gesevent.com/survey/0yei6de7z78gi/register?"</f>
        <v>0</v>
      </c>
      <c r="M457" s="110"/>
      <c r="N457" s="98"/>
      <c r="O457" s="99" t="s">
        <v>1296</v>
      </c>
      <c r="P457" s="130" t="s">
        <v>1537</v>
      </c>
      <c r="Q457" s="100" t="s">
        <v>900</v>
      </c>
      <c r="R457" s="128" t="s">
        <v>55</v>
      </c>
      <c r="S457" s="85"/>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row>
    <row r="458" spans="1:64" s="86" customFormat="1" ht="41.25" customHeight="1">
      <c r="A458" s="87"/>
      <c r="B458" s="88"/>
      <c r="C458" s="89"/>
      <c r="D458" s="130"/>
      <c r="E458" s="91"/>
      <c r="F458" s="130"/>
      <c r="G458" s="104"/>
      <c r="H458" s="365">
        <f>"presented by &lt;b&gt;Shayan&amp;nbsp;Afshar&lt;/b&gt;, Navtech Radar"</f>
        <v>0</v>
      </c>
      <c r="I458" s="301"/>
      <c r="J458" s="107"/>
      <c r="K458" s="134"/>
      <c r="L458" s="96"/>
      <c r="M458" s="110"/>
      <c r="N458" s="98"/>
      <c r="O458" s="99"/>
      <c r="P458" s="130"/>
      <c r="Q458" s="100"/>
      <c r="R458" s="128"/>
      <c r="S458" s="85"/>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row>
    <row r="459" spans="1:64" s="86" customFormat="1" ht="33" customHeight="1">
      <c r="A459" s="87"/>
      <c r="B459" s="88"/>
      <c r="C459" s="89"/>
      <c r="D459" s="130"/>
      <c r="E459" s="91"/>
      <c r="F459" s="130"/>
      <c r="G459" s="104"/>
      <c r="H459" s="365">
        <f>"&lt;b&gt;Martin&amp;nbsp;B&amp;ouml;hm&lt;/b&gt;, Austriatech"</f>
        <v>0</v>
      </c>
      <c r="I459" s="301"/>
      <c r="J459" s="107"/>
      <c r="K459" s="134"/>
      <c r="L459" s="96"/>
      <c r="M459" s="110"/>
      <c r="N459" s="98"/>
      <c r="O459" s="99"/>
      <c r="P459" s="130"/>
      <c r="Q459" s="100"/>
      <c r="R459" s="128"/>
      <c r="S459" s="85"/>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row>
    <row r="460" spans="1:64" s="86" customFormat="1" ht="21.75" customHeight="1">
      <c r="A460" s="87"/>
      <c r="B460" s="88"/>
      <c r="C460" s="89"/>
      <c r="D460" s="130"/>
      <c r="E460" s="91"/>
      <c r="F460" s="130"/>
      <c r="G460" s="104"/>
      <c r="H460" s="365">
        <f>"&lt;b&gt;Paul&amp;nbsp;Potters&lt;/b&gt;, Monotch"</f>
        <v>0</v>
      </c>
      <c r="I460" s="301"/>
      <c r="J460" s="107"/>
      <c r="K460" s="134"/>
      <c r="L460" s="96"/>
      <c r="M460" s="110"/>
      <c r="N460" s="98"/>
      <c r="O460" s="99"/>
      <c r="P460" s="130"/>
      <c r="Q460" s="100"/>
      <c r="R460" s="128"/>
      <c r="S460" s="85"/>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row>
    <row r="461" spans="1:19" s="86" customFormat="1" ht="34.5" customHeight="1">
      <c r="A461" s="129" t="s">
        <v>1538</v>
      </c>
      <c r="B461" s="88" t="s">
        <v>1539</v>
      </c>
      <c r="C461" s="89">
        <f>"http://www.trb.org/Main/Blurbs/181072.aspx"</f>
        <v>0</v>
      </c>
      <c r="D461" s="130"/>
      <c r="E461" s="91" t="s">
        <v>1540</v>
      </c>
      <c r="F461" s="130" t="s">
        <v>1541</v>
      </c>
      <c r="G461" s="104">
        <f>"Presenters will evaluate the impacts of CAVs on freeways and arterials under varying market penetration rates."</f>
        <v>0</v>
      </c>
      <c r="H461" s="132">
        <f>"&lt;b&gt;Bastian&amp;nbsp;Schroeder&lt;/b&gt;, Kittelson &amp; Associates"</f>
        <v>0</v>
      </c>
      <c r="I461" s="301"/>
      <c r="J461" s="198"/>
      <c r="K461" s="307">
        <f>"mailto:rgillum@nas.edu?subject=Question%20about%20Sept%2029%20webinar"</f>
        <v>0</v>
      </c>
      <c r="L461" s="109" t="s">
        <v>1542</v>
      </c>
      <c r="M461" s="109">
        <f>"registration: https://webinar.mytrb.org/Home/Login?WebinarID=1421"</f>
        <v>0</v>
      </c>
      <c r="N461" s="207">
        <f>"Related Report:   Highway Capacity Manual (HCM6)    http://www.trb.org/Main/Blurbs/175169.aspx"</f>
        <v>0</v>
      </c>
      <c r="O461" s="99" t="s">
        <v>125</v>
      </c>
      <c r="P461" s="130" t="s">
        <v>319</v>
      </c>
      <c r="Q461" s="100" t="s">
        <v>54</v>
      </c>
      <c r="R461" s="128" t="s">
        <v>55</v>
      </c>
      <c r="S461" s="141"/>
    </row>
    <row r="462" spans="1:19" s="86" customFormat="1" ht="34.5" customHeight="1">
      <c r="A462" s="129"/>
      <c r="B462" s="88"/>
      <c r="C462" s="89"/>
      <c r="D462" s="130"/>
      <c r="E462" s="91"/>
      <c r="F462" s="130"/>
      <c r="G462" s="104"/>
      <c r="H462" s="132">
        <f>"&lt;b&gt;Brian&amp;nbsp;Dunn&lt;/b&gt;, Oregon Depar&amp;rsquo;t of Transp."</f>
        <v>0</v>
      </c>
      <c r="I462" s="301"/>
      <c r="J462" s="198"/>
      <c r="K462" s="307"/>
      <c r="L462" s="109"/>
      <c r="M462" s="109"/>
      <c r="N462" s="207"/>
      <c r="O462" s="99"/>
      <c r="P462" s="130"/>
      <c r="Q462" s="100"/>
      <c r="R462" s="128"/>
      <c r="S462" s="141"/>
    </row>
    <row r="463" spans="1:19" s="86" customFormat="1" ht="48.75" customHeight="1">
      <c r="A463" s="129"/>
      <c r="B463" s="88"/>
      <c r="C463" s="89">
        <f>"Description:  https://content.govdelivery.com/accounts/USNASTRB/bulletins/298e74e"</f>
        <v>0</v>
      </c>
      <c r="D463" s="130"/>
      <c r="E463" s="91"/>
      <c r="F463" s="130"/>
      <c r="G463" s="104"/>
      <c r="H463" s="132">
        <f>"&lt;b&gt;Abby&amp;nbsp;Morgan&lt;/b&gt;, Kittelson &amp; Associates"</f>
        <v>0</v>
      </c>
      <c r="I463" s="301"/>
      <c r="J463" s="198"/>
      <c r="K463" s="307"/>
      <c r="L463" s="109"/>
      <c r="M463" s="109"/>
      <c r="N463" s="207">
        <f>"Related Report:  Assessment of Capacity Changes Due to Automated Vehicleson Interstate Corridors  http://www.virginiadot.org/vtrc/main/online_reports/pdf/21-R1.pdf"</f>
        <v>0</v>
      </c>
      <c r="O463" s="99"/>
      <c r="P463" s="130"/>
      <c r="Q463" s="100"/>
      <c r="R463" s="128"/>
      <c r="S463" s="141"/>
    </row>
    <row r="464" spans="1:19" s="86" customFormat="1" ht="48.75" customHeight="1">
      <c r="A464" s="129"/>
      <c r="B464" s="88"/>
      <c r="C464" s="89"/>
      <c r="D464" s="130"/>
      <c r="E464" s="91"/>
      <c r="F464" s="130"/>
      <c r="G464" s="104"/>
      <c r="H464" s="132">
        <f>"Question and answer session: Moderated by &lt;b&gt;Tom&amp;nbsp;Creasey&lt;/b&gt;, Caliper Corporation"</f>
        <v>0</v>
      </c>
      <c r="I464" s="301"/>
      <c r="J464" s="198"/>
      <c r="K464" s="307"/>
      <c r="L464" s="109"/>
      <c r="M464" s="109"/>
      <c r="N464" s="207"/>
      <c r="O464" s="99"/>
      <c r="P464" s="130"/>
      <c r="Q464" s="100"/>
      <c r="R464" s="128"/>
      <c r="S464" s="141"/>
    </row>
    <row r="465" spans="1:64" ht="100.5" customHeight="1">
      <c r="A465" s="382" t="s">
        <v>674</v>
      </c>
      <c r="B465" s="382" t="s">
        <v>1543</v>
      </c>
      <c r="C465" s="383">
        <f>"https://www.sae.org/learn/content/c1603/"</f>
        <v>0</v>
      </c>
      <c r="D465" s="383" t="s">
        <v>552</v>
      </c>
      <c r="E465" s="384" t="s">
        <v>1544</v>
      </c>
      <c r="F465" s="115" t="s">
        <v>455</v>
      </c>
      <c r="G465" s="385" t="s">
        <v>678</v>
      </c>
      <c r="H465" s="386" t="s">
        <v>457</v>
      </c>
      <c r="I465" s="119" t="s">
        <v>1545</v>
      </c>
      <c r="J465" s="256"/>
      <c r="K465" s="121"/>
      <c r="L465" s="154" t="s">
        <v>1546</v>
      </c>
      <c r="M465" s="234" t="s">
        <v>395</v>
      </c>
      <c r="N465" s="297"/>
      <c r="O465" s="222" t="s">
        <v>396</v>
      </c>
      <c r="P465" s="115" t="s">
        <v>397</v>
      </c>
      <c r="Q465" s="126" t="s">
        <v>54</v>
      </c>
      <c r="R465" s="213" t="s">
        <v>55</v>
      </c>
      <c r="S465" s="85"/>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row>
    <row r="466" spans="1:64" s="86" customFormat="1" ht="73.5" customHeight="1">
      <c r="A466" s="87" t="s">
        <v>1547</v>
      </c>
      <c r="B466" s="88" t="s">
        <v>1548</v>
      </c>
      <c r="C466" s="89">
        <f>"https://register.gotowebinar.com/register/8321767412936089359"</f>
        <v>0</v>
      </c>
      <c r="D466" s="183"/>
      <c r="E466" s="91" t="s">
        <v>1549</v>
      </c>
      <c r="F466" s="183" t="s">
        <v>1550</v>
      </c>
      <c r="G466" s="306">
        <f>"&amp;hellip; it&amp;rsquo;s imperative that today&amp;rsquo;s engineers, researchers, and managers understand the fundamentals of how to test batteries and the most productive approaches to ensure product performance, safety and time to market."</f>
        <v>0</v>
      </c>
      <c r="H466" s="132" t="s">
        <v>1551</v>
      </c>
      <c r="I466" s="135"/>
      <c r="J466" s="202"/>
      <c r="K466" s="108"/>
      <c r="L466" s="199"/>
      <c r="M466" s="176"/>
      <c r="N466" s="181"/>
      <c r="O466" s="99" t="s">
        <v>145</v>
      </c>
      <c r="P466" s="183" t="s">
        <v>1353</v>
      </c>
      <c r="Q466" s="100" t="s">
        <v>54</v>
      </c>
      <c r="R466" s="128" t="s">
        <v>55</v>
      </c>
      <c r="S466" s="85"/>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row>
    <row r="467" spans="1:19" s="86" customFormat="1" ht="51.75" customHeight="1">
      <c r="A467" s="129" t="s">
        <v>1552</v>
      </c>
      <c r="B467" s="88" t="s">
        <v>1553</v>
      </c>
      <c r="C467" s="89">
        <f>"https://www.mnmexpo.com/ev-charging/"</f>
        <v>0</v>
      </c>
      <c r="D467" s="130" t="s">
        <v>1554</v>
      </c>
      <c r="E467" s="91" t="s">
        <v>1555</v>
      </c>
      <c r="F467" s="130" t="s">
        <v>200</v>
      </c>
      <c r="G467" s="160" t="s">
        <v>1556</v>
      </c>
      <c r="H467" s="132"/>
      <c r="I467" s="106"/>
      <c r="J467" s="107"/>
      <c r="K467" s="134"/>
      <c r="L467" s="159">
        <f>"Policy Forum: Policies and Government Regulations:  https://www.mnmexpo.com/ev-charging/conferences/policy-forum/"</f>
        <v>0</v>
      </c>
      <c r="M467" s="110">
        <f>"Registration:  https://www.mnmexpo.com/ev-charging/conferences/policy-forum/register"</f>
        <v>0</v>
      </c>
      <c r="N467" s="487" t="s">
        <v>1557</v>
      </c>
      <c r="O467" s="99" t="s">
        <v>187</v>
      </c>
      <c r="P467" s="130" t="s">
        <v>188</v>
      </c>
      <c r="Q467" s="100" t="s">
        <v>54</v>
      </c>
      <c r="R467" s="128" t="s">
        <v>55</v>
      </c>
      <c r="S467" s="141"/>
    </row>
    <row r="468" spans="1:19" s="86" customFormat="1" ht="51.75" customHeight="1">
      <c r="A468" s="129"/>
      <c r="B468" s="88"/>
      <c r="C468" s="89"/>
      <c r="D468" s="130"/>
      <c r="E468" s="91"/>
      <c r="F468" s="130"/>
      <c r="G468" s="160"/>
      <c r="H468" s="132"/>
      <c r="I468" s="106"/>
      <c r="J468" s="107"/>
      <c r="K468" s="134"/>
      <c r="L468" s="159">
        <f>"Industry Forum: EV Charging:  https://www.mnmexpo.com/ev-charging/conferences/industry-forum/"</f>
        <v>0</v>
      </c>
      <c r="M468" s="110">
        <f>"Registration:  https://www.mnmexpo.com/ev-charging/conferences/industry-forum/register"</f>
        <v>0</v>
      </c>
      <c r="N468" s="487" t="s">
        <v>1557</v>
      </c>
      <c r="O468" s="99"/>
      <c r="P468" s="130"/>
      <c r="Q468" s="100"/>
      <c r="R468" s="128"/>
      <c r="S468" s="141"/>
    </row>
    <row r="469" spans="1:64" ht="51.75" customHeight="1">
      <c r="A469" s="129"/>
      <c r="B469" s="88"/>
      <c r="C469" s="143" t="s">
        <v>1558</v>
      </c>
      <c r="D469" s="130"/>
      <c r="E469" s="91"/>
      <c r="F469" s="130"/>
      <c r="G469" s="117">
        <f>"&amp;hellip; one of the major constraints in the [global Electric Vehicle] market is the availability of sufficient charging infrastructure."</f>
        <v>0</v>
      </c>
      <c r="H469" s="132"/>
      <c r="I469" s="106"/>
      <c r="J469" s="107"/>
      <c r="K469" s="134"/>
      <c r="L469" s="159">
        <f>"Technical Forum:&amp;nbsp; Gigawatts to KIlowatts:  https://www.mnmexpo.com/ev-charging/conferences/technical-forum/"</f>
        <v>0</v>
      </c>
      <c r="M469" s="110">
        <f>"Registration:  https://www.mnmexpo.com/ev-charging/conferences/technical-forum/register"</f>
        <v>0</v>
      </c>
      <c r="N469" s="487" t="s">
        <v>1557</v>
      </c>
      <c r="O469" s="99"/>
      <c r="P469" s="130"/>
      <c r="Q469" s="100"/>
      <c r="R469" s="128"/>
      <c r="S469" s="141"/>
      <c r="T469" s="86"/>
      <c r="U469" s="86"/>
      <c r="V469" s="86"/>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row>
    <row r="470" spans="1:64" ht="63" customHeight="1">
      <c r="A470" s="129"/>
      <c r="B470" s="88"/>
      <c r="C470" s="143"/>
      <c r="D470" s="130"/>
      <c r="E470" s="91"/>
      <c r="F470" s="130"/>
      <c r="G470" s="117"/>
      <c r="H470" s="132"/>
      <c r="I470" s="106"/>
      <c r="J470" s="107"/>
      <c r="K470" s="134"/>
      <c r="L470" s="159">
        <f>"Plenary VIP Forum:  https://www.mnmexpo.com/ev-charging/conferences/plenary-vip-forum/"</f>
        <v>0</v>
      </c>
      <c r="M470" s="110">
        <f>"Registration:  https://www.mnmexpo.com/ev-charging/conferences/plenary-vip-forum/register"</f>
        <v>0</v>
      </c>
      <c r="N470" s="487" t="s">
        <v>1559</v>
      </c>
      <c r="O470" s="99"/>
      <c r="P470" s="130"/>
      <c r="Q470" s="100"/>
      <c r="R470" s="128"/>
      <c r="S470" s="141"/>
      <c r="T470" s="86"/>
      <c r="U470" s="86"/>
      <c r="V470" s="86"/>
      <c r="W470" s="86"/>
      <c r="X470" s="86"/>
      <c r="Y470" s="86"/>
      <c r="Z470" s="86"/>
      <c r="AA470" s="86"/>
      <c r="AB470" s="86"/>
      <c r="AC470" s="86"/>
      <c r="AD470" s="86"/>
      <c r="AE470" s="86"/>
      <c r="AF470" s="86"/>
      <c r="AG470" s="86"/>
      <c r="AH470" s="86"/>
      <c r="AI470" s="86"/>
      <c r="AJ470" s="86"/>
      <c r="AK470" s="86"/>
      <c r="AL470" s="86"/>
      <c r="AM470" s="86"/>
      <c r="AN470" s="86"/>
      <c r="AO470" s="86"/>
      <c r="AP470" s="86"/>
      <c r="AQ470" s="86"/>
      <c r="AR470" s="86"/>
      <c r="AS470" s="86"/>
      <c r="AT470" s="86"/>
      <c r="AU470" s="86"/>
      <c r="AV470" s="86"/>
      <c r="AW470" s="86"/>
      <c r="AX470" s="86"/>
      <c r="AY470" s="86"/>
      <c r="AZ470" s="86"/>
      <c r="BA470" s="86"/>
      <c r="BB470" s="86"/>
      <c r="BC470" s="86"/>
      <c r="BD470" s="86"/>
      <c r="BE470" s="86"/>
      <c r="BF470" s="86"/>
      <c r="BG470" s="86"/>
      <c r="BH470" s="86"/>
      <c r="BI470" s="86"/>
      <c r="BJ470" s="86"/>
      <c r="BK470" s="86"/>
      <c r="BL470" s="86"/>
    </row>
    <row r="471" spans="1:64" ht="60.75" customHeight="1">
      <c r="A471" s="389" t="s">
        <v>952</v>
      </c>
      <c r="B471" s="390" t="s">
        <v>1560</v>
      </c>
      <c r="C471" s="391">
        <f>"https://www.sae.org/learn/content/c1893/"</f>
        <v>0</v>
      </c>
      <c r="D471" s="282" t="s">
        <v>552</v>
      </c>
      <c r="E471" s="283" t="s">
        <v>1561</v>
      </c>
      <c r="F471" s="282" t="s">
        <v>455</v>
      </c>
      <c r="G471" s="392" t="s">
        <v>955</v>
      </c>
      <c r="H471" s="393" t="s">
        <v>457</v>
      </c>
      <c r="I471" s="394" t="s">
        <v>757</v>
      </c>
      <c r="J471" s="342"/>
      <c r="K471" s="233"/>
      <c r="L471" s="288" t="s">
        <v>1562</v>
      </c>
      <c r="M471" s="234" t="s">
        <v>459</v>
      </c>
      <c r="N471" s="277"/>
      <c r="O471" s="125" t="s">
        <v>396</v>
      </c>
      <c r="P471" s="148">
        <f>"https://www.sae.org/learn/professional-development"</f>
        <v>0</v>
      </c>
      <c r="Q471" s="248" t="s">
        <v>54</v>
      </c>
      <c r="R471" s="213" t="s">
        <v>55</v>
      </c>
      <c r="S471" s="85"/>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row>
    <row r="472" spans="1:64" s="86" customFormat="1" ht="40.5" customHeight="1">
      <c r="A472" s="102" t="s">
        <v>1563</v>
      </c>
      <c r="B472" s="88" t="s">
        <v>1564</v>
      </c>
      <c r="C472" s="89">
        <f>"https://event.webcasts.com/starthere.jsp?ei=1356525&amp;tp_key=447a0aaa1a"</f>
        <v>0</v>
      </c>
      <c r="D472" s="90"/>
      <c r="E472" s="91" t="s">
        <v>1565</v>
      </c>
      <c r="F472" s="90" t="s">
        <v>1566</v>
      </c>
      <c r="G472" s="104">
        <f>"&amp;hellip; the need for advancements in battery technologies, [are] especially in areas of thermal management, safety, durability, and lightweighting."</f>
        <v>0</v>
      </c>
      <c r="H472" s="132">
        <f>"&lt;b&gt;Christophe&amp;nbsp;van&amp;nbsp;Herreweghe&lt;/b&gt;, Global Strat. Marketing Dir., DuPont Transport &amp; Industrial (T&amp;amp;I)"</f>
        <v>0</v>
      </c>
      <c r="I472" s="106"/>
      <c r="J472" s="107"/>
      <c r="K472" s="108"/>
      <c r="L472" s="159"/>
      <c r="M472" s="110"/>
      <c r="N472" s="110"/>
      <c r="O472" s="203" t="s">
        <v>260</v>
      </c>
      <c r="P472" s="204" t="s">
        <v>1213</v>
      </c>
      <c r="Q472" s="360" t="s">
        <v>54</v>
      </c>
      <c r="R472" s="254" t="s">
        <v>55</v>
      </c>
      <c r="S472" s="85"/>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row>
    <row r="473" spans="1:64" s="86" customFormat="1" ht="40.5" customHeight="1">
      <c r="A473" s="102"/>
      <c r="B473" s="88"/>
      <c r="C473" s="89"/>
      <c r="D473" s="90"/>
      <c r="E473" s="91"/>
      <c r="F473" s="90"/>
      <c r="G473" s="104"/>
      <c r="H473" s="132">
        <f>"&lt;b&gt;Sergio&amp;nbsp;Grunder&lt;b&gt;, PhD, Scientist, DuPont Transportation &amp; Industrial"</f>
        <v>0</v>
      </c>
      <c r="I473" s="106"/>
      <c r="J473" s="107"/>
      <c r="K473" s="108"/>
      <c r="L473" s="159"/>
      <c r="M473" s="110"/>
      <c r="N473" s="110"/>
      <c r="O473" s="203"/>
      <c r="P473" s="204"/>
      <c r="Q473" s="360"/>
      <c r="R473" s="254"/>
      <c r="S473" s="85"/>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row>
    <row r="474" spans="1:64" s="86" customFormat="1" ht="27" customHeight="1">
      <c r="A474" s="102"/>
      <c r="B474" s="88"/>
      <c r="C474" s="89"/>
      <c r="D474" s="90"/>
      <c r="E474" s="90"/>
      <c r="F474" s="90"/>
      <c r="G474" s="104"/>
      <c r="H474" s="132" t="s">
        <v>1214</v>
      </c>
      <c r="I474" s="106"/>
      <c r="J474" s="107"/>
      <c r="K474" s="108"/>
      <c r="L474" s="159"/>
      <c r="M474" s="110"/>
      <c r="N474" s="110"/>
      <c r="O474" s="203"/>
      <c r="P474" s="204"/>
      <c r="Q474" s="360"/>
      <c r="R474" s="254"/>
      <c r="S474" s="85"/>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row>
    <row r="475" spans="1:64" s="86" customFormat="1" ht="113.25" customHeight="1">
      <c r="A475" s="102" t="s">
        <v>1567</v>
      </c>
      <c r="B475" s="88" t="s">
        <v>1568</v>
      </c>
      <c r="C475" s="89">
        <f>"https://environmentnewjersey.webaction.org/p/salsa/event/common/public/?event_KEY=973&amp;supporter_KEY=988547&amp;uid=b094d964177c7968f831d47f952dce77"</f>
        <v>0</v>
      </c>
      <c r="D475" s="89"/>
      <c r="E475" s="91" t="s">
        <v>1569</v>
      </c>
      <c r="F475" s="90" t="s">
        <v>1570</v>
      </c>
      <c r="G475" s="104" t="s">
        <v>1571</v>
      </c>
      <c r="H475" s="132"/>
      <c r="I475" s="106"/>
      <c r="J475" s="107"/>
      <c r="K475" s="108"/>
      <c r="L475" s="159"/>
      <c r="M475" s="110"/>
      <c r="N475" s="110"/>
      <c r="O475" s="203" t="s">
        <v>1572</v>
      </c>
      <c r="P475" s="204">
        <f>"https://environmentnewjersey.webaction.org"</f>
        <v>0</v>
      </c>
      <c r="Q475" s="360" t="s">
        <v>67</v>
      </c>
      <c r="R475" s="363" t="s">
        <v>86</v>
      </c>
      <c r="S475" s="85"/>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row>
    <row r="476" spans="1:64" ht="66.75" customHeight="1">
      <c r="A476" s="112" t="s">
        <v>832</v>
      </c>
      <c r="B476" s="113" t="s">
        <v>833</v>
      </c>
      <c r="C476" s="143">
        <f>"https://www.sae.org/attend/student-events/autodrive-challenge/"</f>
        <v>0</v>
      </c>
      <c r="D476" s="148" t="s">
        <v>834</v>
      </c>
      <c r="E476" s="116" t="s">
        <v>1573</v>
      </c>
      <c r="F476" s="148" t="s">
        <v>836</v>
      </c>
      <c r="G476" s="240" t="s">
        <v>837</v>
      </c>
      <c r="H476" s="308" t="s">
        <v>1574</v>
      </c>
      <c r="I476" s="215"/>
      <c r="J476" s="120"/>
      <c r="K476" s="121">
        <f>"https://www.sae.org/attend/student-events/autodrive-challenge/contact"</f>
        <v>0</v>
      </c>
      <c r="L476" s="154"/>
      <c r="M476" s="234"/>
      <c r="N476" s="277"/>
      <c r="O476" s="125" t="s">
        <v>83</v>
      </c>
      <c r="P476" s="148" t="s">
        <v>838</v>
      </c>
      <c r="Q476" s="126" t="s">
        <v>839</v>
      </c>
      <c r="R476" s="127" t="s">
        <v>86</v>
      </c>
      <c r="S476" s="85"/>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row>
    <row r="477" spans="1:64" ht="33.75" customHeight="1">
      <c r="A477" s="112" t="s">
        <v>1575</v>
      </c>
      <c r="B477" s="244" t="s">
        <v>1433</v>
      </c>
      <c r="C477" s="267">
        <f>"https://www.itsworldcongress2020.com/en-us.html"</f>
        <v>0</v>
      </c>
      <c r="D477" s="244" t="s">
        <v>1434</v>
      </c>
      <c r="E477" s="116" t="s">
        <v>1501</v>
      </c>
      <c r="F477" s="244" t="s">
        <v>1436</v>
      </c>
      <c r="G477" s="240" t="s">
        <v>1437</v>
      </c>
      <c r="H477" s="217">
        <f>"Conact, Maps, and other Info.:  https://www.itsworldcongress2020.com/en-us/about-us.html"</f>
        <v>0</v>
      </c>
      <c r="I477" s="488">
        <f>"More info:  https://www.itsworldcongress2020.com/en-us/press/its-world-congress-los-angeles-2020-news---its-america-2021-atla.html"</f>
        <v>0</v>
      </c>
      <c r="J477" s="488"/>
      <c r="K477" s="241">
        <f>"Apply for Mailing List:  https://www.itsworldcongress2020.com/mailing-list"</f>
        <v>0</v>
      </c>
      <c r="L477" s="151">
        <f>"Call for Contributions:  https://itswc.confex.com/itswc/2020/cfp.cgi"</f>
        <v>0</v>
      </c>
      <c r="M477" s="369"/>
      <c r="N477" s="281" t="s">
        <v>1438</v>
      </c>
      <c r="O477" s="222" t="s">
        <v>1439</v>
      </c>
      <c r="P477" s="148">
        <f>"http://itsamerica.org/"</f>
        <v>0</v>
      </c>
      <c r="Q477" s="223" t="s">
        <v>54</v>
      </c>
      <c r="R477" s="127" t="s">
        <v>1576</v>
      </c>
      <c r="S477" s="85"/>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row>
    <row r="478" spans="1:64" ht="63.75" customHeight="1">
      <c r="A478" s="112"/>
      <c r="B478" s="244"/>
      <c r="C478" s="267"/>
      <c r="D478" s="244"/>
      <c r="E478" s="116"/>
      <c r="F478" s="244"/>
      <c r="G478" s="240"/>
      <c r="H478" s="217"/>
      <c r="I478" s="488"/>
      <c r="J478" s="488"/>
      <c r="K478" s="241"/>
      <c r="L478" s="489">
        <f>"DEMONSTRATIONS:  https://www.itsworldcongress2020.com/demonstrations-1"</f>
        <v>0</v>
      </c>
      <c r="M478" s="490">
        <f>"https://www.itsworldcongress2020.com/s/DemonstrationsApplication-ascw.docx"</f>
        <v>0</v>
      </c>
      <c r="N478" s="491" t="s">
        <v>1441</v>
      </c>
      <c r="O478" s="222"/>
      <c r="P478" s="148"/>
      <c r="Q478" s="223"/>
      <c r="R478" s="127"/>
      <c r="S478" s="85"/>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row>
    <row r="479" spans="1:64" ht="66" customHeight="1">
      <c r="A479" s="112" t="s">
        <v>1577</v>
      </c>
      <c r="B479" s="244"/>
      <c r="C479" s="267"/>
      <c r="D479" s="244"/>
      <c r="E479" s="116"/>
      <c r="F479" s="244"/>
      <c r="G479" s="117">
        <f>"Theme:  Emerging Technologies and Solutions that Create a Safer, Greener, Smarter Mobility System."</f>
        <v>0</v>
      </c>
      <c r="H479" s="217"/>
      <c r="I479" s="215"/>
      <c r="J479" s="120"/>
      <c r="K479" s="340"/>
      <c r="L479" s="151">
        <f>"https://www.itsworldcongress2020.com/gicompetition"</f>
        <v>0</v>
      </c>
      <c r="M479" s="369">
        <f>"https://docs.google.com/forms/d/e/1FAIpQLScJ99-ESbPWYl47vEmF-F-AUGtuLQFeJFfikw5qttUvkSsJkg/viewform"</f>
        <v>0</v>
      </c>
      <c r="N479" s="281" t="s">
        <v>1578</v>
      </c>
      <c r="O479" s="222" t="s">
        <v>874</v>
      </c>
      <c r="P479" s="115" t="s">
        <v>1579</v>
      </c>
      <c r="Q479" s="223"/>
      <c r="R479" s="127"/>
      <c r="S479" s="85"/>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row>
    <row r="480" spans="1:64" ht="36.75" customHeight="1">
      <c r="A480" s="148" t="s">
        <v>1580</v>
      </c>
      <c r="B480" s="244"/>
      <c r="C480" s="267"/>
      <c r="D480" s="244"/>
      <c r="E480" s="116"/>
      <c r="F480" s="244"/>
      <c r="G480" s="148" t="s">
        <v>1581</v>
      </c>
      <c r="H480" s="248"/>
      <c r="I480" s="273"/>
      <c r="J480" s="120"/>
      <c r="K480" s="340"/>
      <c r="L480" s="151">
        <f>"https://www.itsfutureleaders.org/"</f>
        <v>0</v>
      </c>
      <c r="M480" s="369"/>
      <c r="N480" s="281"/>
      <c r="O480" s="222"/>
      <c r="P480" s="115"/>
      <c r="Q480" s="223"/>
      <c r="R480" s="127"/>
      <c r="S480" s="85"/>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row>
    <row r="481" spans="1:64" s="86" customFormat="1" ht="65.25" customHeight="1">
      <c r="A481" s="492">
        <f>"Collaborate To Innovate (C2I) Awards (Contest, UK only)"</f>
        <v>0</v>
      </c>
      <c r="B481" s="473" t="s">
        <v>1448</v>
      </c>
      <c r="C481" s="103">
        <f>"https://awards.theengineer.co.uk/"</f>
        <v>0</v>
      </c>
      <c r="D481" s="183"/>
      <c r="E481" s="188">
        <f>"Closing date:  2020/10/02 (extended from 09/18)"</f>
        <v>0</v>
      </c>
      <c r="F481" s="183" t="s">
        <v>1449</v>
      </c>
      <c r="G481" s="474">
        <f>"Are you involved in a UK-led engineering project with genuine innovation at its core?&amp;nbsp; Are you collaborating with partners from other organisations or research groups to achieve this?"</f>
        <v>0</v>
      </c>
      <c r="H481" s="132"/>
      <c r="I481" s="175"/>
      <c r="J481" s="170"/>
      <c r="K481" s="179">
        <f>"https://awards.theengineer.co.uk/contact-us"</f>
        <v>0</v>
      </c>
      <c r="L481" s="159">
        <f>"Categories:  https://awards.theengineer.co.uk/categories"</f>
        <v>0</v>
      </c>
      <c r="M481" s="173">
        <f>"Entry Form:  https://awards.theengineer.co.uk/enter-awards"</f>
        <v>0</v>
      </c>
      <c r="N481" s="400" t="s">
        <v>1559</v>
      </c>
      <c r="O481" s="175" t="s">
        <v>1452</v>
      </c>
      <c r="P481" s="473">
        <f>"https://www.theengineer.co.uk/"</f>
        <v>0</v>
      </c>
      <c r="Q481" s="177" t="s">
        <v>54</v>
      </c>
      <c r="R481" s="128" t="s">
        <v>55</v>
      </c>
      <c r="S481" s="85"/>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row>
    <row r="482" spans="1:64" s="495" customFormat="1" ht="63.75" customHeight="1">
      <c r="A482" s="112" t="s">
        <v>1582</v>
      </c>
      <c r="B482" s="113" t="s">
        <v>1583</v>
      </c>
      <c r="C482" s="143">
        <f>"https://www.automotive-iq.com/events-autonomousvehicles-detroit/"</f>
        <v>0</v>
      </c>
      <c r="D482" s="148" t="s">
        <v>1584</v>
      </c>
      <c r="E482" s="116" t="s">
        <v>1585</v>
      </c>
      <c r="F482" s="148" t="s">
        <v>1586</v>
      </c>
      <c r="G482" s="240" t="s">
        <v>1587</v>
      </c>
      <c r="H482" s="217"/>
      <c r="I482" s="348"/>
      <c r="J482" s="120" t="s">
        <v>1588</v>
      </c>
      <c r="K482" s="257">
        <f>"mailto:enquiry@iqpc.com"</f>
        <v>0</v>
      </c>
      <c r="L482" s="154"/>
      <c r="M482" s="123"/>
      <c r="N482" s="235"/>
      <c r="O482" s="222" t="s">
        <v>1589</v>
      </c>
      <c r="P482" s="148">
        <f>"https://www.automotive-iq.com/"</f>
        <v>0</v>
      </c>
      <c r="Q482" s="223" t="s">
        <v>54</v>
      </c>
      <c r="R482" s="224" t="s">
        <v>55</v>
      </c>
      <c r="S482" s="493"/>
      <c r="T482" s="494"/>
      <c r="U482" s="494"/>
      <c r="V482" s="494"/>
      <c r="W482" s="494"/>
      <c r="X482" s="494"/>
      <c r="Y482" s="494"/>
      <c r="Z482" s="494"/>
      <c r="AA482" s="494"/>
      <c r="AB482" s="494"/>
      <c r="AC482" s="494"/>
      <c r="AD482" s="494"/>
      <c r="AE482" s="494"/>
      <c r="AF482" s="494"/>
      <c r="AG482" s="494"/>
      <c r="AH482" s="494"/>
      <c r="AI482" s="494"/>
      <c r="AJ482" s="494"/>
      <c r="AK482" s="494"/>
      <c r="AL482" s="494"/>
      <c r="AM482" s="494"/>
      <c r="AN482" s="494"/>
      <c r="AO482" s="494"/>
      <c r="AP482" s="494"/>
      <c r="AQ482" s="494"/>
      <c r="AR482" s="494"/>
      <c r="AS482" s="494"/>
      <c r="AT482" s="494"/>
      <c r="AU482" s="494"/>
      <c r="AV482" s="494"/>
      <c r="AW482" s="494"/>
      <c r="AX482" s="494"/>
      <c r="AY482" s="494"/>
      <c r="AZ482" s="494"/>
      <c r="BA482" s="494"/>
      <c r="BB482" s="494"/>
      <c r="BC482" s="494"/>
      <c r="BD482" s="494"/>
      <c r="BE482" s="494"/>
      <c r="BF482" s="494"/>
      <c r="BG482" s="494"/>
      <c r="BH482" s="494"/>
      <c r="BI482" s="494"/>
      <c r="BJ482" s="494"/>
      <c r="BK482" s="494"/>
      <c r="BL482" s="494"/>
    </row>
    <row r="483" spans="1:64" s="86" customFormat="1" ht="63.75" customHeight="1">
      <c r="A483" s="87" t="s">
        <v>1590</v>
      </c>
      <c r="B483" s="88" t="s">
        <v>1591</v>
      </c>
      <c r="C483" s="89">
        <f>"https://www.sae.org/learn/content/c1869"</f>
        <v>0</v>
      </c>
      <c r="D483" s="183" t="s">
        <v>1592</v>
      </c>
      <c r="E483" s="91" t="s">
        <v>1593</v>
      </c>
      <c r="F483" s="183" t="s">
        <v>1594</v>
      </c>
      <c r="G483" s="306" t="s">
        <v>1595</v>
      </c>
      <c r="H483" s="132">
        <f>"Instructor: Alan Moore"</f>
        <v>0</v>
      </c>
      <c r="I483" s="135"/>
      <c r="J483" s="202"/>
      <c r="K483" s="108"/>
      <c r="L483" s="199" t="s">
        <v>1562</v>
      </c>
      <c r="M483" s="176" t="s">
        <v>459</v>
      </c>
      <c r="N483" s="181"/>
      <c r="O483" s="99" t="s">
        <v>396</v>
      </c>
      <c r="P483" s="183" t="s">
        <v>397</v>
      </c>
      <c r="Q483" s="100" t="s">
        <v>54</v>
      </c>
      <c r="R483" s="128" t="s">
        <v>55</v>
      </c>
      <c r="S483" s="85"/>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row>
    <row r="484" spans="1:64" s="86" customFormat="1" ht="73.5" customHeight="1">
      <c r="A484" s="87" t="s">
        <v>1596</v>
      </c>
      <c r="B484" s="88" t="s">
        <v>1597</v>
      </c>
      <c r="C484" s="89">
        <f>"https://register.gotowebinar.com/register/1285536210179343120"</f>
        <v>0</v>
      </c>
      <c r="D484" s="183"/>
      <c r="E484" s="91" t="s">
        <v>1598</v>
      </c>
      <c r="F484" s="183" t="s">
        <v>1599</v>
      </c>
      <c r="G484" s="306">
        <f>"We will walk through different phases of research from material development, characterization of cells and stacks, and advanced diagnostics on modules for Electric Vehicles."</f>
        <v>0</v>
      </c>
      <c r="H484" s="132" t="s">
        <v>1600</v>
      </c>
      <c r="I484" s="135"/>
      <c r="J484" s="202"/>
      <c r="K484" s="108"/>
      <c r="L484" s="199"/>
      <c r="M484" s="176"/>
      <c r="N484" s="181"/>
      <c r="O484" s="99" t="s">
        <v>145</v>
      </c>
      <c r="P484" s="183" t="s">
        <v>1353</v>
      </c>
      <c r="Q484" s="100" t="s">
        <v>54</v>
      </c>
      <c r="R484" s="128" t="s">
        <v>55</v>
      </c>
      <c r="S484" s="85"/>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row>
    <row r="485" spans="1:64" s="86" customFormat="1" ht="50.25" customHeight="1">
      <c r="A485" s="87">
        <f>"Free Webinar:&amp;nbsp; Eliminate waste and optimize battery pack production with advancements in pump technology and sealant equipment"</f>
        <v>0</v>
      </c>
      <c r="B485" s="88" t="s">
        <v>1601</v>
      </c>
      <c r="C485" s="89">
        <f>"https://chargedevs.com/newswire/eliminate-waste-and-optimize-battery-pack-production-with-advancements-in-pump-technology-and-sealant-equipment-webinar/"</f>
        <v>0</v>
      </c>
      <c r="D485" s="130"/>
      <c r="E485" s="91" t="s">
        <v>1602</v>
      </c>
      <c r="F485" s="130" t="s">
        <v>1603</v>
      </c>
      <c r="G485" s="306" t="s">
        <v>1604</v>
      </c>
      <c r="H485" s="132">
        <f>"&lt;b&gt;Tony&amp;nbsp;Burton&lt;/b&gt;, Market Segm. Mgr., Nordson"</f>
        <v>0</v>
      </c>
      <c r="I485" s="301"/>
      <c r="J485" s="202"/>
      <c r="K485" s="134"/>
      <c r="L485" s="364">
        <f>"Registration:  https://us02web.zoom.us/webinar/register/1316003677444/WN_SMi6ZSySRgqzTqmuYK1DVw"</f>
        <v>0</v>
      </c>
      <c r="M485" s="130"/>
      <c r="N485" s="187"/>
      <c r="O485" s="99" t="s">
        <v>153</v>
      </c>
      <c r="P485" s="130">
        <f>"https://chargedevs.com/conference/"</f>
        <v>0</v>
      </c>
      <c r="Q485" s="100" t="s">
        <v>54</v>
      </c>
      <c r="R485" s="128" t="s">
        <v>55</v>
      </c>
      <c r="S485" s="85"/>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row>
    <row r="486" spans="1:64" s="86" customFormat="1" ht="50.25" customHeight="1">
      <c r="A486" s="87"/>
      <c r="B486" s="88"/>
      <c r="C486" s="89"/>
      <c r="D486" s="130"/>
      <c r="E486" s="91"/>
      <c r="F486" s="130"/>
      <c r="G486" s="306"/>
      <c r="H486" s="132">
        <f>"&lt;b&gt;Tim&amp;nbsp;Campbell&lt;/b&gt;, Prod. Portfolio Mgr., Nordson"</f>
        <v>0</v>
      </c>
      <c r="I486" s="301"/>
      <c r="J486" s="202"/>
      <c r="K486" s="134"/>
      <c r="L486" s="364"/>
      <c r="M486" s="130"/>
      <c r="N486" s="187"/>
      <c r="O486" s="99"/>
      <c r="P486" s="130"/>
      <c r="Q486" s="100"/>
      <c r="R486" s="100"/>
      <c r="S486" s="85"/>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row>
    <row r="487" spans="1:64" s="86" customFormat="1" ht="63.75" customHeight="1">
      <c r="A487" s="87" t="s">
        <v>1605</v>
      </c>
      <c r="B487" s="88" t="s">
        <v>1606</v>
      </c>
      <c r="C487" s="89">
        <f>"https://www.altcarexposac.com/"</f>
        <v>0</v>
      </c>
      <c r="D487" s="183"/>
      <c r="E487" s="91" t="s">
        <v>1607</v>
      </c>
      <c r="F487" s="183" t="s">
        <v>1608</v>
      </c>
      <c r="G487" s="306" t="s">
        <v>1609</v>
      </c>
      <c r="H487" s="132">
        <f>"Speakers and other info.:  http://hosted.verticalresponse.com/422201/2a881a743a/1793501557/8c7473f946/"</f>
        <v>0</v>
      </c>
      <c r="I487" s="135"/>
      <c r="J487" s="202"/>
      <c r="K487" s="108"/>
      <c r="L487" s="199"/>
      <c r="M487" s="176"/>
      <c r="N487" s="181"/>
      <c r="O487" s="99" t="s">
        <v>714</v>
      </c>
      <c r="P487" s="183" t="s">
        <v>1069</v>
      </c>
      <c r="Q487" s="100" t="s">
        <v>85</v>
      </c>
      <c r="R487" s="128" t="s">
        <v>86</v>
      </c>
      <c r="S487" s="85"/>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row>
    <row r="488" spans="1:64" s="86" customFormat="1" ht="40.5" customHeight="1">
      <c r="A488" s="129" t="s">
        <v>1610</v>
      </c>
      <c r="B488" s="88" t="s">
        <v>1611</v>
      </c>
      <c r="C488" s="89">
        <f>"https://event.webcasts.com/starthere.jsp?ei=1359957&amp;tp_key=173a2fe1ad"</f>
        <v>0</v>
      </c>
      <c r="D488" s="90"/>
      <c r="E488" s="91" t="s">
        <v>1612</v>
      </c>
      <c r="F488" s="90" t="s">
        <v>1613</v>
      </c>
      <c r="G488" s="104">
        <f>"There &amp;hellip; are many &amp;hellip; endeavors to formulate AV testing standards, but the piecemeal nature of these efforts underscores the need for a universal approach."</f>
        <v>0</v>
      </c>
      <c r="H488" s="132">
        <f>"&lt;b&gt;Ben&amp;nbsp;Engel&lt;/b&gt;, Global Tech. Mgr, ASAM (Asoc. for Standardization of Automation and Measuring Syst.)"</f>
        <v>0</v>
      </c>
      <c r="I488" s="106"/>
      <c r="J488" s="107"/>
      <c r="K488" s="134"/>
      <c r="L488" s="96"/>
      <c r="M488" s="110"/>
      <c r="N488" s="110"/>
      <c r="O488" s="203" t="s">
        <v>260</v>
      </c>
      <c r="P488" s="204" t="s">
        <v>1213</v>
      </c>
      <c r="Q488" s="360" t="s">
        <v>54</v>
      </c>
      <c r="R488" s="254" t="s">
        <v>55</v>
      </c>
      <c r="S488" s="85"/>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row>
    <row r="489" spans="1:64" s="86" customFormat="1" ht="27" customHeight="1">
      <c r="A489" s="129"/>
      <c r="B489" s="88"/>
      <c r="C489" s="89"/>
      <c r="D489" s="90"/>
      <c r="E489" s="91"/>
      <c r="F489" s="90"/>
      <c r="G489" s="104"/>
      <c r="H489" s="132">
        <f>"&lt;b&gt;Jamie&amp;nbsp;Smith&lt;/b&gt;, Dir. of Transp. Res. &amp; Design, NI"</f>
        <v>0</v>
      </c>
      <c r="I489" s="106"/>
      <c r="J489" s="107"/>
      <c r="K489" s="134"/>
      <c r="L489" s="96"/>
      <c r="M489" s="110"/>
      <c r="N489" s="110"/>
      <c r="O489" s="203"/>
      <c r="P489" s="204"/>
      <c r="Q489" s="360"/>
      <c r="R489" s="254"/>
      <c r="S489" s="85"/>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row>
    <row r="490" spans="1:64" s="86" customFormat="1" ht="27" customHeight="1">
      <c r="A490" s="129"/>
      <c r="B490" s="88"/>
      <c r="C490" s="89"/>
      <c r="D490" s="90"/>
      <c r="E490" s="91"/>
      <c r="F490" s="90"/>
      <c r="G490" s="104"/>
      <c r="H490" s="132">
        <f>"&lt;b&gt;Jeffrey&amp;nbsp;Wishart&lt;b/&gt;, PhD, Managing Eng., Exponent"</f>
        <v>0</v>
      </c>
      <c r="I490" s="106"/>
      <c r="J490" s="107"/>
      <c r="K490" s="134"/>
      <c r="L490" s="96"/>
      <c r="M490" s="110"/>
      <c r="N490" s="110"/>
      <c r="O490" s="203"/>
      <c r="P490" s="204"/>
      <c r="Q490" s="360"/>
      <c r="R490" s="254"/>
      <c r="S490" s="85"/>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row>
    <row r="491" spans="1:64" s="86" customFormat="1" ht="27" customHeight="1">
      <c r="A491" s="129"/>
      <c r="B491" s="88"/>
      <c r="C491" s="89"/>
      <c r="D491" s="90"/>
      <c r="E491" s="90"/>
      <c r="F491" s="90"/>
      <c r="G491" s="104"/>
      <c r="H491" s="132" t="s">
        <v>1214</v>
      </c>
      <c r="I491" s="106"/>
      <c r="J491" s="107"/>
      <c r="K491" s="134"/>
      <c r="L491" s="96"/>
      <c r="M491" s="110"/>
      <c r="N491" s="110"/>
      <c r="O491" s="203"/>
      <c r="P491" s="204"/>
      <c r="Q491" s="360"/>
      <c r="R491" s="254"/>
      <c r="S491" s="85"/>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row>
    <row r="492" spans="1:64" ht="30" customHeight="1">
      <c r="A492" s="147" t="s">
        <v>1614</v>
      </c>
      <c r="B492" s="113" t="s">
        <v>1170</v>
      </c>
      <c r="C492" s="143">
        <f>"https://plugvolt.com/seminars/"</f>
        <v>0</v>
      </c>
      <c r="D492" s="244" t="s">
        <v>753</v>
      </c>
      <c r="E492" s="239" t="s">
        <v>1615</v>
      </c>
      <c r="F492" s="244" t="s">
        <v>1172</v>
      </c>
      <c r="G492" s="346" t="s">
        <v>1173</v>
      </c>
      <c r="H492" s="374" t="s">
        <v>1616</v>
      </c>
      <c r="I492" s="436"/>
      <c r="J492" s="437"/>
      <c r="K492" s="438"/>
      <c r="L492" s="212" t="s">
        <v>1617</v>
      </c>
      <c r="M492" s="123" t="s">
        <v>1176</v>
      </c>
      <c r="N492" s="123"/>
      <c r="O492" s="222" t="s">
        <v>145</v>
      </c>
      <c r="P492" s="148" t="s">
        <v>1177</v>
      </c>
      <c r="Q492" s="223" t="s">
        <v>54</v>
      </c>
      <c r="R492" s="224" t="s">
        <v>55</v>
      </c>
      <c r="S492" s="85"/>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row>
    <row r="493" spans="1:64" ht="27" customHeight="1">
      <c r="A493" s="147"/>
      <c r="B493" s="113"/>
      <c r="C493" s="143"/>
      <c r="D493" s="244"/>
      <c r="E493" s="244"/>
      <c r="F493" s="244"/>
      <c r="G493" s="346"/>
      <c r="H493" s="374"/>
      <c r="I493" s="436"/>
      <c r="J493" s="437"/>
      <c r="K493" s="438"/>
      <c r="L493" s="212" t="s">
        <v>1618</v>
      </c>
      <c r="M493" s="123" t="s">
        <v>1619</v>
      </c>
      <c r="N493" s="123"/>
      <c r="O493" s="222"/>
      <c r="P493" s="148">
        <f>"http://plugvolt.com/seminars/"</f>
        <v>0</v>
      </c>
      <c r="Q493" s="223"/>
      <c r="R493" s="224"/>
      <c r="S493" s="85"/>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row>
    <row r="494" spans="1:64" ht="39" customHeight="1">
      <c r="A494" s="147"/>
      <c r="B494" s="113"/>
      <c r="C494" s="143"/>
      <c r="D494" s="244"/>
      <c r="E494" s="244"/>
      <c r="F494" s="244"/>
      <c r="G494" s="346"/>
      <c r="H494" s="374"/>
      <c r="I494" s="436"/>
      <c r="J494" s="437"/>
      <c r="K494" s="438"/>
      <c r="L494" s="212" t="s">
        <v>1620</v>
      </c>
      <c r="M494" s="123">
        <f>"Agenda:  https://plugvolt.com/seminars/wp-content/uploads/2020/05/PlugVolt-Battery-Seminar-2020-Program-Agenda-Rev4.pdf"</f>
        <v>0</v>
      </c>
      <c r="N494" s="123"/>
      <c r="O494" s="222"/>
      <c r="P494" s="148"/>
      <c r="Q494" s="223"/>
      <c r="R494" s="224"/>
      <c r="S494" s="85"/>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row>
    <row r="495" spans="1:64" ht="47.25" customHeight="1">
      <c r="A495" s="112" t="s">
        <v>589</v>
      </c>
      <c r="B495" s="115" t="s">
        <v>590</v>
      </c>
      <c r="C495" s="115">
        <f>"https://nordicevs.no/"</f>
        <v>0</v>
      </c>
      <c r="D495" s="115" t="s">
        <v>591</v>
      </c>
      <c r="E495" s="239" t="s">
        <v>1621</v>
      </c>
      <c r="F495" s="115" t="s">
        <v>593</v>
      </c>
      <c r="G495" s="216" t="s">
        <v>594</v>
      </c>
      <c r="H495" s="278"/>
      <c r="I495" s="215"/>
      <c r="J495" s="120"/>
      <c r="K495" s="121">
        <f>"https://nordicevs.no/#contact"</f>
        <v>0</v>
      </c>
      <c r="L495" s="212">
        <f>"Apply to become a Speaker:  https://nordicevs.no/become-a-speaker/"</f>
        <v>0</v>
      </c>
      <c r="M495" s="123" t="s">
        <v>891</v>
      </c>
      <c r="N495" s="229"/>
      <c r="O495" s="261" t="s">
        <v>187</v>
      </c>
      <c r="P495" s="115" t="s">
        <v>188</v>
      </c>
      <c r="Q495" s="126" t="s">
        <v>54</v>
      </c>
      <c r="R495" s="213" t="s">
        <v>55</v>
      </c>
      <c r="S495" s="85"/>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row>
    <row r="496" spans="1:64" ht="69.75" customHeight="1">
      <c r="A496" s="311" t="s">
        <v>1622</v>
      </c>
      <c r="B496" s="113" t="s">
        <v>1623</v>
      </c>
      <c r="C496" s="143">
        <f>"http://www.maglev2020.com/"</f>
        <v>0</v>
      </c>
      <c r="D496" s="148" t="s">
        <v>1624</v>
      </c>
      <c r="E496" s="239" t="s">
        <v>1625</v>
      </c>
      <c r="F496" s="148" t="s">
        <v>1626</v>
      </c>
      <c r="G496" s="240" t="s">
        <v>1627</v>
      </c>
      <c r="H496" s="217"/>
      <c r="I496" s="215" t="s">
        <v>1628</v>
      </c>
      <c r="J496" s="219">
        <f>"+86 0731 84263875"</f>
        <v>0</v>
      </c>
      <c r="K496" s="241">
        <f>"admin@maglev2020.com"</f>
        <v>0</v>
      </c>
      <c r="L496" s="300">
        <f>"http://www.maglev2020.com/conference/13/1.html"</f>
        <v>0</v>
      </c>
      <c r="M496" s="123">
        <f>"Login:  http://www.maglev2020.com/login.html"</f>
        <v>0</v>
      </c>
      <c r="N496" s="496" t="s">
        <v>1629</v>
      </c>
      <c r="O496" s="222" t="s">
        <v>252</v>
      </c>
      <c r="P496" s="148">
        <f>"https://www.maglevboard.net/en/the-conferences"</f>
        <v>0</v>
      </c>
      <c r="Q496" s="264" t="s">
        <v>54</v>
      </c>
      <c r="R496" s="213" t="s">
        <v>55</v>
      </c>
      <c r="S496" s="141"/>
      <c r="T496" s="86"/>
      <c r="U496" s="86"/>
      <c r="V496" s="86"/>
      <c r="W496" s="86"/>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6"/>
      <c r="BA496" s="86"/>
      <c r="BB496" s="86"/>
      <c r="BC496" s="86"/>
      <c r="BD496" s="86"/>
      <c r="BE496" s="86"/>
      <c r="BF496" s="86"/>
      <c r="BG496" s="86"/>
      <c r="BH496" s="86"/>
      <c r="BI496" s="86"/>
      <c r="BJ496" s="86"/>
      <c r="BK496" s="86"/>
      <c r="BL496" s="86"/>
    </row>
    <row r="497" spans="1:64" ht="21.75" customHeight="1">
      <c r="A497" s="311" t="s">
        <v>1630</v>
      </c>
      <c r="B497" s="113"/>
      <c r="C497" s="143"/>
      <c r="D497" s="148"/>
      <c r="E497" s="239" t="s">
        <v>1631</v>
      </c>
      <c r="F497" s="148"/>
      <c r="G497" s="240"/>
      <c r="H497" s="217"/>
      <c r="I497" s="215"/>
      <c r="J497" s="219"/>
      <c r="K497" s="241"/>
      <c r="L497" s="300"/>
      <c r="M497" s="123"/>
      <c r="N497" s="496"/>
      <c r="O497" s="222"/>
      <c r="P497" s="148"/>
      <c r="Q497" s="264"/>
      <c r="R497" s="213"/>
      <c r="S497" s="141"/>
      <c r="T497" s="86"/>
      <c r="U497" s="86"/>
      <c r="V497" s="86"/>
      <c r="W497" s="86"/>
      <c r="X497" s="86"/>
      <c r="Y497" s="86"/>
      <c r="Z497" s="86"/>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s="86"/>
      <c r="AX497" s="86"/>
      <c r="AY497" s="86"/>
      <c r="AZ497" s="86"/>
      <c r="BA497" s="86"/>
      <c r="BB497" s="86"/>
      <c r="BC497" s="86"/>
      <c r="BD497" s="86"/>
      <c r="BE497" s="86"/>
      <c r="BF497" s="86"/>
      <c r="BG497" s="86"/>
      <c r="BH497" s="86"/>
      <c r="BI497" s="86"/>
      <c r="BJ497" s="86"/>
      <c r="BK497" s="86"/>
      <c r="BL497" s="86"/>
    </row>
    <row r="498" spans="1:64" s="86" customFormat="1" ht="75.75" customHeight="1">
      <c r="A498" s="87" t="s">
        <v>1632</v>
      </c>
      <c r="B498" s="193" t="s">
        <v>1633</v>
      </c>
      <c r="C498" s="193">
        <f>"https://2020.ieeeisse.org/"</f>
        <v>0</v>
      </c>
      <c r="D498" s="193" t="s">
        <v>1634</v>
      </c>
      <c r="E498" s="334" t="s">
        <v>1635</v>
      </c>
      <c r="F498" s="193" t="s">
        <v>1636</v>
      </c>
      <c r="G498" s="196" t="s">
        <v>1637</v>
      </c>
      <c r="H498" s="335"/>
      <c r="I498" s="106"/>
      <c r="J498" s="107"/>
      <c r="K498" s="134">
        <f>"Contact form:  https://2020.ieeeisse.org/contact"</f>
        <v>0</v>
      </c>
      <c r="L498" s="145">
        <f>"https://2020.ieeeisse.org/document/ieee-isse-2020-call-papers"</f>
        <v>0</v>
      </c>
      <c r="M498" s="110">
        <f>"Submission questions:  Shelby Lussier mailto:slussier@conferencecatalysts.com"</f>
        <v>0</v>
      </c>
      <c r="N498" s="110">
        <f>"Abstract (Industry papers);  Full Manuscript (Academic/Research  papers);  2020/06/14 (extended from 05/26 and 04/26)"</f>
        <v>0</v>
      </c>
      <c r="O498" s="99" t="s">
        <v>531</v>
      </c>
      <c r="P498" s="130">
        <f>"https://www.ieeesystemscouncil.org/pages/conferences"</f>
        <v>0</v>
      </c>
      <c r="Q498" s="100" t="s">
        <v>54</v>
      </c>
      <c r="R498" s="128" t="s">
        <v>55</v>
      </c>
      <c r="S498" s="85"/>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row>
    <row r="499" spans="1:64" s="86" customFormat="1" ht="47.25" customHeight="1">
      <c r="A499" s="87"/>
      <c r="B499" s="193"/>
      <c r="C499" s="193"/>
      <c r="D499" s="193"/>
      <c r="E499" s="334"/>
      <c r="F499" s="193"/>
      <c r="G499" s="196"/>
      <c r="H499" s="335"/>
      <c r="I499" s="106"/>
      <c r="J499" s="107"/>
      <c r="K499" s="134"/>
      <c r="L499" s="145">
        <f>"https://2020.ieeeisse.org/sites/isse20/files/documents/call-docs/isse2020-cfp_web_03.pdf"</f>
        <v>0</v>
      </c>
      <c r="M499" s="110"/>
      <c r="N499" s="110" t="s">
        <v>1638</v>
      </c>
      <c r="O499" s="99"/>
      <c r="P499" s="130"/>
      <c r="Q499" s="100"/>
      <c r="R499" s="128"/>
      <c r="S499" s="85"/>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row>
    <row r="500" spans="1:64" ht="20.25" customHeight="1">
      <c r="A500" s="279" t="s">
        <v>1639</v>
      </c>
      <c r="B500" s="280" t="s">
        <v>1640</v>
      </c>
      <c r="C500" s="281">
        <f>"https://www.cambridgeenertech.com/battery-safety/"</f>
        <v>0</v>
      </c>
      <c r="D500" s="282" t="s">
        <v>1641</v>
      </c>
      <c r="E500" s="283" t="s">
        <v>1642</v>
      </c>
      <c r="F500" s="282" t="s">
        <v>1643</v>
      </c>
      <c r="G500" s="452" t="s">
        <v>1644</v>
      </c>
      <c r="H500" s="405" t="s">
        <v>757</v>
      </c>
      <c r="I500" s="286"/>
      <c r="J500" s="342" t="s">
        <v>1645</v>
      </c>
      <c r="K500" s="287">
        <f>"mailto:ce@cambridgeenertech.com"</f>
        <v>0</v>
      </c>
      <c r="L500" s="497">
        <f>"Speaker Proposal:  https://www.cambridgeenertech.com/bat/speaker-proposal"</f>
        <v>0</v>
      </c>
      <c r="M500" s="228"/>
      <c r="N500" s="229"/>
      <c r="O500" s="497" t="s">
        <v>1646</v>
      </c>
      <c r="P500" s="498">
        <f>"http://www.advancedautobat.com/"</f>
        <v>0</v>
      </c>
      <c r="Q500" s="370" t="s">
        <v>54</v>
      </c>
      <c r="R500" s="289" t="s">
        <v>55</v>
      </c>
      <c r="S500" s="85"/>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row>
    <row r="501" spans="1:64" ht="20.25" customHeight="1">
      <c r="A501" s="279"/>
      <c r="B501" s="280"/>
      <c r="C501" s="281"/>
      <c r="D501" s="282"/>
      <c r="E501" s="283"/>
      <c r="F501" s="282"/>
      <c r="G501" s="452"/>
      <c r="H501" s="405"/>
      <c r="I501" s="286"/>
      <c r="J501" s="342" t="s">
        <v>1647</v>
      </c>
      <c r="K501" s="287"/>
      <c r="L501" s="497"/>
      <c r="M501" s="228"/>
      <c r="N501" s="229"/>
      <c r="O501" s="497"/>
      <c r="P501" s="498"/>
      <c r="Q501" s="370"/>
      <c r="R501" s="289"/>
      <c r="S501" s="85"/>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row>
    <row r="502" spans="1:64" ht="49.5" customHeight="1">
      <c r="A502" s="409">
        <f>"Session:  Recycling and Repurposing"</f>
        <v>0</v>
      </c>
      <c r="B502" s="280"/>
      <c r="C502" s="281">
        <f>"https://www.cambridgeenertech.com/battery-recycling"</f>
        <v>0</v>
      </c>
      <c r="D502" s="282"/>
      <c r="E502" s="283" t="s">
        <v>1648</v>
      </c>
      <c r="F502" s="282"/>
      <c r="G502" s="392" t="s">
        <v>1649</v>
      </c>
      <c r="H502" s="405"/>
      <c r="I502" s="394" t="s">
        <v>1650</v>
      </c>
      <c r="J502" s="342" t="s">
        <v>1651</v>
      </c>
      <c r="K502" s="343">
        <f>"mailto:vmosolgo@cambridgeenertech.com"</f>
        <v>0</v>
      </c>
      <c r="L502" s="497"/>
      <c r="M502" s="228"/>
      <c r="N502" s="229"/>
      <c r="O502" s="497"/>
      <c r="P502" s="498"/>
      <c r="Q502" s="370"/>
      <c r="R502" s="289"/>
      <c r="S502" s="85"/>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row>
    <row r="503" spans="1:64" ht="65.25" customHeight="1">
      <c r="A503" s="409" t="s">
        <v>1652</v>
      </c>
      <c r="B503" s="280"/>
      <c r="C503" s="281">
        <f>"https://www.cambridgeenertech.com/battery-forensics"</f>
        <v>0</v>
      </c>
      <c r="D503" s="282"/>
      <c r="E503" s="283" t="s">
        <v>1648</v>
      </c>
      <c r="F503" s="282"/>
      <c r="G503" s="392" t="s">
        <v>1653</v>
      </c>
      <c r="H503" s="405"/>
      <c r="I503" s="394" t="s">
        <v>1654</v>
      </c>
      <c r="J503" s="342" t="s">
        <v>1655</v>
      </c>
      <c r="K503" s="343">
        <f>"mailto:sjohnson@cambridgeinnovationinstitute.com"</f>
        <v>0</v>
      </c>
      <c r="L503" s="497"/>
      <c r="M503" s="228"/>
      <c r="N503" s="229"/>
      <c r="O503" s="497"/>
      <c r="P503" s="498"/>
      <c r="Q503" s="370"/>
      <c r="R503" s="289"/>
      <c r="S503" s="85"/>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row>
    <row r="504" spans="1:64" s="86" customFormat="1" ht="38.25" customHeight="1">
      <c r="A504" s="492" t="s">
        <v>626</v>
      </c>
      <c r="B504" s="166" t="s">
        <v>627</v>
      </c>
      <c r="C504" s="103">
        <f>"https://www.evtechexpo.eu/"</f>
        <v>0</v>
      </c>
      <c r="D504" s="323" t="s">
        <v>628</v>
      </c>
      <c r="E504" s="209">
        <f>"2020/10/14 - 16 (moved up from 10/15 – 17"</f>
        <v>0</v>
      </c>
      <c r="F504" s="183" t="s">
        <v>629</v>
      </c>
      <c r="G504" s="178" t="s">
        <v>630</v>
      </c>
      <c r="H504" s="105">
        <f>"COVID-19 Info:  https://www.evtechexpo.eu/en/visit/covid-19/faq.html"</f>
        <v>0</v>
      </c>
      <c r="I504" s="169"/>
      <c r="J504" s="170"/>
      <c r="K504" s="179">
        <f>"https://www.evtechexpo.eu/en/Information/contact-us.html"</f>
        <v>0</v>
      </c>
      <c r="L504" s="145">
        <f>"Exhibitors&amp;rsquo; info:  https://www.evtechexpo.eu/en/Exhibit/why-exhibit.html"</f>
        <v>0</v>
      </c>
      <c r="M504" s="173" t="s">
        <v>631</v>
      </c>
      <c r="N504" s="180"/>
      <c r="O504" s="99"/>
      <c r="P504" s="130"/>
      <c r="Q504" s="100" t="s">
        <v>85</v>
      </c>
      <c r="R504" s="128" t="s">
        <v>55</v>
      </c>
      <c r="S504" s="85"/>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row>
    <row r="505" spans="1:64" s="86" customFormat="1" ht="50.25" customHeight="1">
      <c r="A505" s="87" t="s">
        <v>632</v>
      </c>
      <c r="B505" s="88" t="s">
        <v>633</v>
      </c>
      <c r="C505" s="89">
        <f>"https://www.thebatteryshow.eu/"</f>
        <v>0</v>
      </c>
      <c r="D505" s="323"/>
      <c r="E505" s="209"/>
      <c r="F505" s="323" t="s">
        <v>634</v>
      </c>
      <c r="G505" s="178" t="s">
        <v>635</v>
      </c>
      <c r="H505" s="105">
        <f>"COVID-19 Info:  https://www.thebatteryshow.eu/en/Visit/covid-19/faq.html"</f>
        <v>0</v>
      </c>
      <c r="I505" s="135"/>
      <c r="J505" s="107"/>
      <c r="K505" s="108">
        <f>"https://www.thebatteryshow.eu/en/Information/contact-us.html"</f>
        <v>0</v>
      </c>
      <c r="L505" s="159">
        <f>"Exhibitors&amp;rsquo; info:  https://www.thebatteryshow.eu/en/Exhibit/why-exhibit.html"</f>
        <v>0</v>
      </c>
      <c r="M505" s="173" t="s">
        <v>636</v>
      </c>
      <c r="N505" s="180"/>
      <c r="O505" s="99"/>
      <c r="P505" s="130"/>
      <c r="Q505" s="100"/>
      <c r="R505" s="128"/>
      <c r="S505" s="85"/>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row>
    <row r="506" spans="1:64" s="86" customFormat="1" ht="42" customHeight="1">
      <c r="A506" s="87" t="s">
        <v>1656</v>
      </c>
      <c r="B506" s="88" t="s">
        <v>1657</v>
      </c>
      <c r="C506" s="89">
        <f>"https://www.eventbrite.com/e/capability-statement-webinar-event-tickets-123468257883?aff="</f>
        <v>0</v>
      </c>
      <c r="D506" s="130"/>
      <c r="E506" s="91" t="s">
        <v>1658</v>
      </c>
      <c r="F506" s="130" t="s">
        <v>1659</v>
      </c>
      <c r="G506" s="104">
        <f>"&amp;hellip; it is clear that investments into batteries are driving the development of the e-mobility sector."</f>
        <v>0</v>
      </c>
      <c r="H506" s="132">
        <f>"&lt;b&gt;Bert&amp;nbsp;Witkamp&lt;/b&gt;, Operating Agent, Crit. Raw Materials for Electric Vehicles"</f>
        <v>0</v>
      </c>
      <c r="I506" s="106"/>
      <c r="J506" s="107"/>
      <c r="K506" s="134"/>
      <c r="L506" s="159">
        <f>"Registration:  https://10times.com/e1s3-5s49-pkpp/live"</f>
        <v>0</v>
      </c>
      <c r="M506" s="110"/>
      <c r="N506" s="98"/>
      <c r="O506" s="99" t="s">
        <v>373</v>
      </c>
      <c r="P506" s="130" t="s">
        <v>1660</v>
      </c>
      <c r="Q506" s="187" t="s">
        <v>54</v>
      </c>
      <c r="R506" s="128" t="s">
        <v>55</v>
      </c>
      <c r="S506" s="85"/>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row>
    <row r="507" spans="1:64" s="86" customFormat="1" ht="33" customHeight="1">
      <c r="A507" s="87"/>
      <c r="B507" s="88"/>
      <c r="C507" s="89"/>
      <c r="D507" s="130"/>
      <c r="E507" s="91"/>
      <c r="F507" s="130"/>
      <c r="G507" s="104"/>
      <c r="H507" s="132">
        <f>"&lt;b&gt;Adam&amp;nbsp;Payani&lt;/b&gt;, Managing Director, RHO Motion"</f>
        <v>0</v>
      </c>
      <c r="I507" s="106"/>
      <c r="J507" s="107"/>
      <c r="K507" s="134"/>
      <c r="L507" s="159"/>
      <c r="M507" s="110"/>
      <c r="N507" s="98"/>
      <c r="O507" s="99"/>
      <c r="P507" s="130"/>
      <c r="Q507" s="187"/>
      <c r="R507" s="128"/>
      <c r="S507" s="85"/>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row>
    <row r="508" spans="1:64" s="86" customFormat="1" ht="33" customHeight="1">
      <c r="A508" s="87"/>
      <c r="B508" s="88"/>
      <c r="C508" s="89"/>
      <c r="D508" s="130"/>
      <c r="E508" s="91"/>
      <c r="F508" s="130" t="s">
        <v>1661</v>
      </c>
      <c r="G508" s="104"/>
      <c r="H508" s="132">
        <f>"&lt;b&gt;Bo&amp;nbsp;Normark&lt;/b&gt;, Indust.&amp;#8209;Strat. Exec., InnoEnergy"</f>
        <v>0</v>
      </c>
      <c r="I508" s="106"/>
      <c r="J508" s="107"/>
      <c r="K508" s="134"/>
      <c r="L508" s="159" t="s">
        <v>1431</v>
      </c>
      <c r="M508" s="110"/>
      <c r="N508" s="98"/>
      <c r="O508" s="99"/>
      <c r="P508" s="130"/>
      <c r="Q508" s="187"/>
      <c r="R508" s="128"/>
      <c r="S508" s="85"/>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row>
    <row r="509" spans="1:64" s="86" customFormat="1" ht="33" customHeight="1">
      <c r="A509" s="87"/>
      <c r="B509" s="88"/>
      <c r="C509" s="89"/>
      <c r="D509" s="130"/>
      <c r="E509" s="91"/>
      <c r="F509" s="130"/>
      <c r="G509" s="104"/>
      <c r="H509" s="132">
        <f>"Prof. Dr. &lt;b&gt;Noshin&amp;nbsp;Omar&lt;/b&gt;, CEO, Avesta Battery &amp; Energy Eng. (ABEE)"</f>
        <v>0</v>
      </c>
      <c r="I509" s="106"/>
      <c r="J509" s="107"/>
      <c r="K509" s="134"/>
      <c r="L509" s="159"/>
      <c r="M509" s="110"/>
      <c r="N509" s="98"/>
      <c r="O509" s="99"/>
      <c r="P509" s="130"/>
      <c r="Q509" s="187"/>
      <c r="R509" s="128"/>
      <c r="S509" s="85"/>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row>
    <row r="510" spans="1:64" s="86" customFormat="1" ht="48.75" customHeight="1">
      <c r="A510" s="87">
        <f>"2-part webinar series:&amp;nbsp; How to succeed with pilot and production-scale transit electric bus fleet deployments&lt;br/&gt;&amp;#10112; the &lt;i&gt;smart&lt;/i&gt; way to execute a successful pilot"</f>
        <v>0</v>
      </c>
      <c r="B510" s="88" t="s">
        <v>1662</v>
      </c>
      <c r="C510" s="89">
        <f>"https://www.act-news.com/webinar/part-1-the-smart-way-to-execute-a-successful-pilot/"</f>
        <v>0</v>
      </c>
      <c r="D510" s="130"/>
      <c r="E510" s="91" t="s">
        <v>1663</v>
      </c>
      <c r="F510" s="130" t="s">
        <v>1664</v>
      </c>
      <c r="G510" s="160">
        <f>"Most transit agencies start with pilot projects to gain the experience needed for a successful wide-scale deployment."</f>
        <v>0</v>
      </c>
      <c r="H510" s="132">
        <f>"&lt;b&gt;Patricia&amp;nbsp;Carr&lt;/b&gt;, Gen&amp;rsquo;l Services Mgr., SolTrans"</f>
        <v>0</v>
      </c>
      <c r="I510" s="106"/>
      <c r="J510" s="107"/>
      <c r="K510" s="134"/>
      <c r="L510" s="159">
        <f>"Register for both webinares:  http://subscribe.act-news.com/AMPLY_Sept_Webinars"</f>
        <v>0</v>
      </c>
      <c r="M510" s="110"/>
      <c r="N510" s="98"/>
      <c r="O510" s="99" t="s">
        <v>1665</v>
      </c>
      <c r="P510" s="130" t="s">
        <v>991</v>
      </c>
      <c r="Q510" s="187" t="s">
        <v>54</v>
      </c>
      <c r="R510" s="128" t="s">
        <v>55</v>
      </c>
      <c r="S510" s="85"/>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row>
    <row r="511" spans="1:64" s="86" customFormat="1" ht="48.75" customHeight="1">
      <c r="A511" s="87"/>
      <c r="B511" s="88"/>
      <c r="C511" s="89"/>
      <c r="D511" s="130"/>
      <c r="E511" s="91"/>
      <c r="F511" s="130"/>
      <c r="G511" s="160"/>
      <c r="H511" s="132">
        <f>"&lt;b&gt;Rob&amp;nbsp;Kelly&lt;/b&gt;, VP Bus. Devel. &amp; Co-Founder, AMPLY"</f>
        <v>0</v>
      </c>
      <c r="I511" s="106"/>
      <c r="J511" s="107"/>
      <c r="K511" s="134"/>
      <c r="L511" s="159"/>
      <c r="M511" s="110"/>
      <c r="N511" s="98"/>
      <c r="O511" s="99"/>
      <c r="P511" s="130"/>
      <c r="Q511" s="187"/>
      <c r="R511" s="128"/>
      <c r="S511" s="85"/>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row>
    <row r="512" spans="1:64" ht="54" customHeight="1">
      <c r="A512" s="148" t="s">
        <v>466</v>
      </c>
      <c r="B512" s="148" t="s">
        <v>1666</v>
      </c>
      <c r="C512" s="148">
        <f>"https://www.sae.org/learn/content/c1704/"</f>
        <v>0</v>
      </c>
      <c r="D512" s="115" t="s">
        <v>1667</v>
      </c>
      <c r="E512" s="239" t="s">
        <v>1631</v>
      </c>
      <c r="F512" s="148" t="s">
        <v>468</v>
      </c>
      <c r="G512" s="245" t="s">
        <v>469</v>
      </c>
      <c r="H512" s="234" t="s">
        <v>470</v>
      </c>
      <c r="I512" s="218"/>
      <c r="J512" s="256"/>
      <c r="K512" s="262"/>
      <c r="L512" s="212" t="s">
        <v>1562</v>
      </c>
      <c r="M512" s="123" t="s">
        <v>459</v>
      </c>
      <c r="N512" s="263"/>
      <c r="O512" s="222" t="s">
        <v>396</v>
      </c>
      <c r="P512" s="115" t="s">
        <v>397</v>
      </c>
      <c r="Q512" s="264" t="s">
        <v>54</v>
      </c>
      <c r="R512" s="213" t="s">
        <v>55</v>
      </c>
      <c r="S512" s="85"/>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row>
    <row r="513" spans="1:64" s="86" customFormat="1" ht="33" customHeight="1">
      <c r="A513" s="130" t="s">
        <v>1668</v>
      </c>
      <c r="B513" s="130" t="s">
        <v>1669</v>
      </c>
      <c r="C513" s="130">
        <f>"https://www.bigmarker.com/ma-business/Panel-discussion-Electrifying-transport-through-cross-sector-collaboration"</f>
        <v>0</v>
      </c>
      <c r="D513" s="130"/>
      <c r="E513" s="209" t="s">
        <v>1670</v>
      </c>
      <c r="F513" s="130" t="s">
        <v>1671</v>
      </c>
      <c r="G513" s="136" t="s">
        <v>1672</v>
      </c>
      <c r="H513" s="110">
        <f>"&lt;b&gt;Jon&amp;nbsp;Excell&lt;/b&gt;, Editor, The Engineer"</f>
        <v>0</v>
      </c>
      <c r="I513" s="250"/>
      <c r="J513" s="198"/>
      <c r="K513" s="251"/>
      <c r="L513" s="96">
        <f>"registration:  http://mail.theengineer.co.uk/q/11n9dV1huZtDay42wqeQRwk/wv"</f>
        <v>0</v>
      </c>
      <c r="M513" s="110"/>
      <c r="N513" s="499"/>
      <c r="O513" s="359" t="s">
        <v>1673</v>
      </c>
      <c r="P513" s="130"/>
      <c r="Q513" s="500" t="s">
        <v>54</v>
      </c>
      <c r="R513" s="128" t="s">
        <v>55</v>
      </c>
      <c r="S513" s="85"/>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row>
    <row r="514" spans="1:64" s="86" customFormat="1" ht="39" customHeight="1">
      <c r="A514" s="130"/>
      <c r="B514" s="130"/>
      <c r="C514" s="130"/>
      <c r="D514" s="130"/>
      <c r="E514" s="130"/>
      <c r="F514" s="130"/>
      <c r="G514" s="136"/>
      <c r="H514" s="110">
        <f>"&lt;b&gt;Phillipa&amp;nbsp;Oldham &lt;/b&gt;, Head of Nat&amp;rsquo; Network Programmes, Adv. Propulsion Centre, UK (APC) "</f>
        <v>0</v>
      </c>
      <c r="I514" s="250"/>
      <c r="J514" s="198"/>
      <c r="K514" s="251"/>
      <c r="L514" s="96"/>
      <c r="M514" s="110"/>
      <c r="N514" s="499"/>
      <c r="O514" s="359"/>
      <c r="P514" s="130"/>
      <c r="Q514" s="500"/>
      <c r="R514" s="128"/>
      <c r="S514" s="85"/>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row>
    <row r="515" spans="1:64" s="86" customFormat="1" ht="32.25" customHeight="1">
      <c r="A515" s="130"/>
      <c r="B515" s="130"/>
      <c r="C515" s="130"/>
      <c r="D515" s="130"/>
      <c r="E515" s="130"/>
      <c r="F515" s="130"/>
      <c r="G515" s="136"/>
      <c r="H515" s="110">
        <f>"&lt;b&gt;Riona&amp;nbsp;Armesmith&lt;/b&gt;, Chief Proj. Eng., Hybr. Elect. Propul., Rolls Royce"</f>
        <v>0</v>
      </c>
      <c r="I515" s="250"/>
      <c r="J515" s="198"/>
      <c r="K515" s="251"/>
      <c r="L515" s="96"/>
      <c r="M515" s="110"/>
      <c r="N515" s="499"/>
      <c r="O515" s="359"/>
      <c r="P515" s="130"/>
      <c r="Q515" s="500"/>
      <c r="R515" s="128"/>
      <c r="S515" s="85"/>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row>
    <row r="516" spans="1:64" s="86" customFormat="1" ht="39" customHeight="1">
      <c r="A516" s="130"/>
      <c r="B516" s="130"/>
      <c r="C516" s="130"/>
      <c r="D516" s="130"/>
      <c r="E516" s="130"/>
      <c r="F516" s="130"/>
      <c r="G516" s="136"/>
      <c r="H516" s="110">
        <f>"Dr.&amp;nbsp;&lt;b&gt;Will&amp;nbsp;Drury&lt;/b&gt;, Challenge Dir. for Driving the Electric Revolution"</f>
        <v>0</v>
      </c>
      <c r="I516" s="250"/>
      <c r="J516" s="198"/>
      <c r="K516" s="251"/>
      <c r="L516" s="96"/>
      <c r="M516" s="110"/>
      <c r="N516" s="499"/>
      <c r="O516" s="359"/>
      <c r="P516" s="130"/>
      <c r="Q516" s="500"/>
      <c r="R516" s="128"/>
      <c r="S516" s="85"/>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row>
    <row r="517" spans="1:64" s="86" customFormat="1" ht="32.25" customHeight="1">
      <c r="A517" s="130"/>
      <c r="B517" s="130"/>
      <c r="C517" s="130"/>
      <c r="D517" s="130"/>
      <c r="E517" s="130"/>
      <c r="F517" s="130"/>
      <c r="G517" s="136"/>
      <c r="H517" s="110">
        <f>"&lt;b&gt;Adrian&amp;nbsp;Greaney&lt;/b&gt;, Dir. Techn. and Digital, Ricardo"</f>
        <v>0</v>
      </c>
      <c r="I517" s="250"/>
      <c r="J517" s="198"/>
      <c r="K517" s="251"/>
      <c r="L517" s="96"/>
      <c r="M517" s="110"/>
      <c r="N517" s="499"/>
      <c r="O517" s="359"/>
      <c r="P517" s="130"/>
      <c r="Q517" s="500"/>
      <c r="R517" s="128"/>
      <c r="S517" s="85"/>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row>
    <row r="518" spans="1:64" s="86" customFormat="1" ht="32.25" customHeight="1">
      <c r="A518" s="130"/>
      <c r="B518" s="130"/>
      <c r="C518" s="130"/>
      <c r="D518" s="130"/>
      <c r="E518" s="130"/>
      <c r="F518" s="130"/>
      <c r="G518" s="136"/>
      <c r="H518" s="110">
        <f>"&lt;b&gt;Colin&amp;nbsp;Morgan&lt;/b&gt;, Chief Eng. for Adv. Services and Products, QinetiQ"</f>
        <v>0</v>
      </c>
      <c r="I518" s="250"/>
      <c r="J518" s="198"/>
      <c r="K518" s="251"/>
      <c r="L518" s="96"/>
      <c r="M518" s="110"/>
      <c r="N518" s="499"/>
      <c r="O518" s="359"/>
      <c r="P518" s="130"/>
      <c r="Q518" s="500"/>
      <c r="R518" s="128"/>
      <c r="S518" s="85"/>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row>
    <row r="519" spans="1:64" s="86" customFormat="1" ht="65.25" customHeight="1">
      <c r="A519" s="87" t="s">
        <v>601</v>
      </c>
      <c r="B519" s="88" t="s">
        <v>1674</v>
      </c>
      <c r="C519" s="89">
        <f>"http://transportationcamp.org/events/nyc-2020/"</f>
        <v>0</v>
      </c>
      <c r="D519" s="90" t="s">
        <v>603</v>
      </c>
      <c r="E519" s="91" t="s">
        <v>1675</v>
      </c>
      <c r="F519" s="90" t="s">
        <v>605</v>
      </c>
      <c r="G519" s="501" t="s">
        <v>606</v>
      </c>
      <c r="H519" s="132">
        <f>"Registration:  https://whova.com/portal/registration/trans7_202010/"</f>
        <v>0</v>
      </c>
      <c r="I519" s="106"/>
      <c r="J519" s="202"/>
      <c r="K519" s="307">
        <f>"Series link:  http://transportationcamp.org/"</f>
        <v>0</v>
      </c>
      <c r="L519" s="96">
        <f>"Essential guide:  http://transportationcamp.org/2011/02/how-transportationcamp-works-the-essential-guide/"</f>
        <v>0</v>
      </c>
      <c r="M519" s="96"/>
      <c r="N519" s="98"/>
      <c r="O519" s="99"/>
      <c r="P519" s="90"/>
      <c r="Q519" s="100" t="s">
        <v>85</v>
      </c>
      <c r="R519" s="101" t="s">
        <v>607</v>
      </c>
      <c r="S519" s="85"/>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row>
    <row r="520" spans="1:64" ht="51" customHeight="1">
      <c r="A520" s="148" t="s">
        <v>1676</v>
      </c>
      <c r="B520" s="148" t="s">
        <v>1677</v>
      </c>
      <c r="C520" s="148">
        <f>"https://events.techconnect.org/Europe/index.html"</f>
        <v>0</v>
      </c>
      <c r="D520" s="148" t="s">
        <v>1678</v>
      </c>
      <c r="E520" s="239" t="s">
        <v>1679</v>
      </c>
      <c r="F520" s="148" t="s">
        <v>1680</v>
      </c>
      <c r="G520" s="376" t="s">
        <v>1681</v>
      </c>
      <c r="H520" s="123" t="s">
        <v>1682</v>
      </c>
      <c r="I520" s="218"/>
      <c r="J520" s="256"/>
      <c r="K520" s="502">
        <f>"https://events.techconnect.org/Europe/about/contact.html"</f>
        <v>0</v>
      </c>
      <c r="L520" s="407">
        <f>"Applied Research:  https://events.techconnect.org/Europe/authors/ (Speaking or Poster)"</f>
        <v>0</v>
      </c>
      <c r="M520" s="293">
        <f>"https://events.techconnect.org/Europe/authors/form.html"</f>
        <v>0</v>
      </c>
      <c r="N520" s="503">
        <f>"Abstracts due:  2020/06/30 (extended from 05/29 and 4/30)"</f>
        <v>0</v>
      </c>
      <c r="O520" s="222" t="s">
        <v>357</v>
      </c>
      <c r="P520" s="148">
        <f>"https://techconnect.org/events/"</f>
        <v>0</v>
      </c>
      <c r="Q520" s="264" t="s">
        <v>54</v>
      </c>
      <c r="R520" s="213" t="s">
        <v>55</v>
      </c>
      <c r="S520" s="85"/>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row>
    <row r="521" spans="1:64" ht="54" customHeight="1">
      <c r="A521" s="148"/>
      <c r="B521" s="148"/>
      <c r="C521" s="148"/>
      <c r="D521" s="148"/>
      <c r="E521" s="239"/>
      <c r="F521" s="239"/>
      <c r="G521" s="376">
        <f>"Connecting Research &amp;ndash; Accelerating Innovation."</f>
        <v>0</v>
      </c>
      <c r="H521" s="123"/>
      <c r="I521" s="218">
        <f>"Exhibittors&amp;rsquo; info."</f>
        <v>0</v>
      </c>
      <c r="J521" s="256"/>
      <c r="K521" s="257">
        <f>"https://events.techconnect.org/Europe/expo/"</f>
        <v>0</v>
      </c>
      <c r="L521" s="407">
        <f>"Innovation Showcase:  https://events.techconnect.org/Europe/innovation/ (startups, IP, early-stage technologies) for pitch and showcase consideration)"</f>
        <v>0</v>
      </c>
      <c r="M521" s="293">
        <f>"https://events.techconnect.org/Europe/innovation/form.html"</f>
        <v>0</v>
      </c>
      <c r="N521" s="503">
        <f>"Innovations due:  2020/06/30 (extended from 05/29 and 4/30)"</f>
        <v>0</v>
      </c>
      <c r="O521" s="222"/>
      <c r="P521" s="148"/>
      <c r="Q521" s="264"/>
      <c r="R521" s="213"/>
      <c r="S521" s="85"/>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row>
    <row r="522" spans="1:64" s="86" customFormat="1" ht="29.25" customHeight="1">
      <c r="A522" s="129" t="s">
        <v>1683</v>
      </c>
      <c r="B522" s="88" t="s">
        <v>1684</v>
      </c>
      <c r="C522" s="89">
        <f>"https://event.webcasts.com/starthere.jsp?ei=1349605&amp;tp_key=ae037abb0e"</f>
        <v>0</v>
      </c>
      <c r="D522" s="90"/>
      <c r="E522" s="91" t="s">
        <v>1685</v>
      </c>
      <c r="F522" s="90" t="s">
        <v>1686</v>
      </c>
      <c r="G522" s="104">
        <f>"To move to a solely electric aircraft, however, requires new components such as high-speed motors, power electronics, and high-voltage cabling."</f>
        <v>0</v>
      </c>
      <c r="H522" s="132">
        <f>"&lt;b&gt;Russ&amp;nbsp;Graves&lt;/b&gt;, Aerospace Bus. Devel. Mgr, TE&amp;nbsp;Connectivity"</f>
        <v>0</v>
      </c>
      <c r="I522" s="106"/>
      <c r="J522" s="107"/>
      <c r="K522" s="134"/>
      <c r="L522" s="96"/>
      <c r="M522" s="110"/>
      <c r="N522" s="110"/>
      <c r="O522" s="203" t="s">
        <v>260</v>
      </c>
      <c r="P522" s="204" t="s">
        <v>1213</v>
      </c>
      <c r="Q522" s="360" t="s">
        <v>54</v>
      </c>
      <c r="R522" s="254" t="s">
        <v>55</v>
      </c>
      <c r="S522" s="85"/>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row>
    <row r="523" spans="1:64" s="86" customFormat="1" ht="53.25" customHeight="1">
      <c r="A523" s="129"/>
      <c r="B523" s="88"/>
      <c r="C523" s="89"/>
      <c r="D523" s="90"/>
      <c r="E523" s="91"/>
      <c r="F523" s="90"/>
      <c r="G523" s="104"/>
      <c r="H523" s="132">
        <f>"&lt;b&gt;Dominik&amp;nbsp;Karbowski&lt;/b&gt;, Techn. Mgr, Intelligent Eco&amp;#8209;Mobility, Veh. &amp; Mob. Syst Group, Argonne Nat&amp;rsquo;l Lab."</f>
        <v>0</v>
      </c>
      <c r="I523" s="106"/>
      <c r="J523" s="107"/>
      <c r="K523" s="134"/>
      <c r="L523" s="96"/>
      <c r="M523" s="110"/>
      <c r="N523" s="110"/>
      <c r="O523" s="203"/>
      <c r="P523" s="204"/>
      <c r="Q523" s="360"/>
      <c r="R523" s="254"/>
      <c r="S523" s="85"/>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row>
    <row r="524" spans="1:64" s="86" customFormat="1" ht="27.75" customHeight="1">
      <c r="A524" s="129"/>
      <c r="B524" s="88"/>
      <c r="C524" s="89"/>
      <c r="D524" s="90"/>
      <c r="E524" s="91"/>
      <c r="F524" s="90"/>
      <c r="G524" s="104"/>
      <c r="H524" s="132">
        <f>"&lt;b&gt;Dhiren&amp;nbsp;Marjadi&lt;/b&gt;, VP, Global Aerospace Bus., Altair"</f>
        <v>0</v>
      </c>
      <c r="I524" s="106"/>
      <c r="J524" s="107"/>
      <c r="K524" s="134"/>
      <c r="L524" s="96"/>
      <c r="M524" s="110"/>
      <c r="N524" s="110"/>
      <c r="O524" s="203"/>
      <c r="P524" s="204"/>
      <c r="Q524" s="360"/>
      <c r="R524" s="254"/>
      <c r="S524" s="85"/>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row>
    <row r="525" spans="1:64" s="86" customFormat="1" ht="27" customHeight="1">
      <c r="A525" s="129"/>
      <c r="B525" s="88"/>
      <c r="C525" s="89"/>
      <c r="D525" s="90"/>
      <c r="E525" s="90"/>
      <c r="F525" s="90"/>
      <c r="G525" s="104"/>
      <c r="H525" s="132" t="s">
        <v>1214</v>
      </c>
      <c r="I525" s="106"/>
      <c r="J525" s="107"/>
      <c r="K525" s="134"/>
      <c r="L525" s="96"/>
      <c r="M525" s="110"/>
      <c r="N525" s="110"/>
      <c r="O525" s="203"/>
      <c r="P525" s="204"/>
      <c r="Q525" s="360"/>
      <c r="R525" s="254"/>
      <c r="S525" s="85"/>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row>
    <row r="526" spans="1:64" s="86" customFormat="1" ht="78.75" customHeight="1">
      <c r="A526" s="397">
        <f>"[31&lt;sup&gt;st&lt;/sup&gt;] IEEE Intelligent Vehicles Symposium &amp;ndash; IV2020"</f>
        <v>0</v>
      </c>
      <c r="B526" s="321" t="s">
        <v>994</v>
      </c>
      <c r="C526" s="322">
        <f>"https://2020.ieee-iv.org/"</f>
        <v>0</v>
      </c>
      <c r="D526" s="323" t="s">
        <v>1687</v>
      </c>
      <c r="E526" s="324" t="s">
        <v>1688</v>
      </c>
      <c r="F526" s="323" t="s">
        <v>996</v>
      </c>
      <c r="G526" s="504" t="s">
        <v>997</v>
      </c>
      <c r="H526" s="190"/>
      <c r="I526" s="169"/>
      <c r="J526" s="170"/>
      <c r="K526" s="505">
        <f>"https://2020.ieee-iv.org/contact-us/"</f>
        <v>0</v>
      </c>
      <c r="L526" s="159">
        <f>"Workshop and Tutorial Proposals:  https://2020.ieee-iv.org/workshops-tutorials-call-for-proposals/"</f>
        <v>0</v>
      </c>
      <c r="M526" s="110">
        <f>"Detailed Instructions:  https://2020.ieee-iv.org/wp-content/uploads/2019/11/IV2020-call-for-workshop-tutorial-proposals.pdf"</f>
        <v>0</v>
      </c>
      <c r="N526" s="98" t="s">
        <v>998</v>
      </c>
      <c r="O526" s="203" t="s">
        <v>519</v>
      </c>
      <c r="P526" s="323">
        <f>"https://www.ieee-itss.org/"</f>
        <v>0</v>
      </c>
      <c r="Q526" s="372" t="s">
        <v>54</v>
      </c>
      <c r="R526" s="333" t="s">
        <v>55</v>
      </c>
      <c r="S526" s="85"/>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row>
    <row r="527" spans="1:64" s="86" customFormat="1" ht="44.25" customHeight="1">
      <c r="A527" s="397"/>
      <c r="B527" s="321"/>
      <c r="C527" s="322"/>
      <c r="D527" s="323"/>
      <c r="E527" s="324"/>
      <c r="F527" s="323" t="s">
        <v>999</v>
      </c>
      <c r="G527" s="504"/>
      <c r="H527" s="190"/>
      <c r="I527" s="169"/>
      <c r="J527" s="170"/>
      <c r="K527" s="505"/>
      <c r="L527" s="159">
        <f>"Full-Paper Submission:  https://2020.ieee-iv.org/call-for-paper/"</f>
        <v>0</v>
      </c>
      <c r="M527" s="110">
        <f>"Information for authors:  https://2020.ieee-iv.org/information-for-authors/"</f>
        <v>0</v>
      </c>
      <c r="N527" s="98" t="s">
        <v>1000</v>
      </c>
      <c r="O527" s="203"/>
      <c r="P527" s="323"/>
      <c r="Q527" s="372"/>
      <c r="R527" s="333"/>
      <c r="S527" s="85"/>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row>
    <row r="528" spans="1:64" s="86" customFormat="1" ht="51" customHeight="1">
      <c r="A528" s="397"/>
      <c r="B528" s="321"/>
      <c r="C528" s="322"/>
      <c r="D528" s="323"/>
      <c r="E528" s="324"/>
      <c r="F528" s="323"/>
      <c r="G528" s="504"/>
      <c r="H528" s="190"/>
      <c r="I528" s="169"/>
      <c r="J528" s="170"/>
      <c r="K528" s="505"/>
      <c r="L528" s="159">
        <f>"List of accepted workshops:  https://2020.ieee-iv.org/workshops-tutorials/"</f>
        <v>0</v>
      </c>
      <c r="M528" s="110">
        <f>"Submission portal:  https://its.papercept.net/conferences/scripts/start.pl"</f>
        <v>0</v>
      </c>
      <c r="N528" s="98" t="s">
        <v>1001</v>
      </c>
      <c r="O528" s="203"/>
      <c r="P528" s="323"/>
      <c r="Q528" s="372"/>
      <c r="R528" s="333"/>
      <c r="S528" s="85"/>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row>
    <row r="529" spans="1:64" s="86" customFormat="1" ht="47.25" customHeight="1">
      <c r="A529" s="397" t="s">
        <v>1689</v>
      </c>
      <c r="B529" s="321" t="s">
        <v>1690</v>
      </c>
      <c r="C529" s="322">
        <f>"https://www.act-news.com/webinar/how-to-buy-down-the-cost-of-fleet-electrification/"</f>
        <v>0</v>
      </c>
      <c r="D529" s="323"/>
      <c r="E529" s="324" t="s">
        <v>1691</v>
      </c>
      <c r="F529" s="323" t="s">
        <v>1692</v>
      </c>
      <c r="G529" s="325">
        <f>"&amp;hellip; initial upfront costs of electrification may seem daunting.&amp;nbsp; However, fleets have a variety of funding options available &amp;hellip;"</f>
        <v>0</v>
      </c>
      <c r="H529" s="506">
        <f>"&lt;b&gt;Lianna&amp;nbsp;Rios&lt;/b&gt;, EV Customer Solutions Manager, SDG&amp;E (Sempra Energy)"</f>
        <v>0</v>
      </c>
      <c r="I529" s="106"/>
      <c r="J529" s="107"/>
      <c r="K529" s="134"/>
      <c r="L529" s="159">
        <f>"registration:  http://subscribe.act-news.com/SDGE_OctWebinar2020_Registration"</f>
        <v>0</v>
      </c>
      <c r="M529" s="110"/>
      <c r="N529" s="98"/>
      <c r="O529" s="203" t="s">
        <v>1665</v>
      </c>
      <c r="P529" s="323" t="s">
        <v>991</v>
      </c>
      <c r="Q529" s="372" t="s">
        <v>54</v>
      </c>
      <c r="R529" s="333" t="s">
        <v>55</v>
      </c>
      <c r="S529" s="85"/>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row>
    <row r="530" spans="1:64" s="86" customFormat="1" ht="47.25" customHeight="1">
      <c r="A530" s="397"/>
      <c r="B530" s="321"/>
      <c r="C530" s="322"/>
      <c r="D530" s="323"/>
      <c r="E530" s="324"/>
      <c r="F530" s="323"/>
      <c r="G530" s="325"/>
      <c r="H530" s="326">
        <f>"&lt;b&gt;Kathleen Keehan&lt;/b&gt;, Supervising Air Resources Spec.,  San Diego Co. Air Pollution Control&amp;nbsp;DIstr."</f>
        <v>0</v>
      </c>
      <c r="I530" s="106"/>
      <c r="J530" s="107"/>
      <c r="K530" s="134"/>
      <c r="L530" s="159"/>
      <c r="M530" s="110"/>
      <c r="N530" s="98"/>
      <c r="O530" s="203"/>
      <c r="P530" s="323"/>
      <c r="Q530" s="372"/>
      <c r="R530" s="333"/>
      <c r="S530" s="85"/>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row>
    <row r="531" spans="1:64" s="86" customFormat="1" ht="66" customHeight="1">
      <c r="A531" s="507" t="s">
        <v>1693</v>
      </c>
      <c r="B531" s="321" t="s">
        <v>1694</v>
      </c>
      <c r="C531" s="322">
        <f>"https://www.eventbrite.com/e/capability-statement-webinar-event-tickets-123468257883?aff="</f>
        <v>0</v>
      </c>
      <c r="D531" s="323"/>
      <c r="E531" s="324" t="s">
        <v>1695</v>
      </c>
      <c r="F531" s="323" t="s">
        <v>1696</v>
      </c>
      <c r="G531" s="325">
        <f>"Gain knowledge on what kind of information is needed in a capability statement &amp;hellip; Listen to information focused on the process of identifying opportunities in beta.SAM.gov"</f>
        <v>0</v>
      </c>
      <c r="H531" s="326"/>
      <c r="I531" s="169"/>
      <c r="J531" s="170"/>
      <c r="K531" s="179"/>
      <c r="L531" s="159">
        <f>"Registration closes Oct. 19, or when filled."</f>
        <v>0</v>
      </c>
      <c r="M531" s="110"/>
      <c r="N531" s="98"/>
      <c r="O531" s="203"/>
      <c r="P531" s="323"/>
      <c r="Q531" s="372" t="s">
        <v>54</v>
      </c>
      <c r="R531" s="333" t="s">
        <v>55</v>
      </c>
      <c r="S531" s="85"/>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row>
    <row r="532" spans="1:64" s="86" customFormat="1" ht="33" customHeight="1">
      <c r="A532" s="102">
        <f>"2-part webinar series:&amp;nbsp; How to succeed with pilot and production-scale transit electric bus fleet deployments&lt;br/&gt;&amp;#10112; From Pilot Project to Large&amp;#8209;Scale Deployment"</f>
        <v>0</v>
      </c>
      <c r="B532" s="88" t="s">
        <v>1697</v>
      </c>
      <c r="C532" s="89">
        <f>"https://www.act-news.com/webinar/part-2-from-pilot-project-to-large-scale-deployment/"</f>
        <v>0</v>
      </c>
      <c r="D532" s="130"/>
      <c r="E532" s="91" t="s">
        <v>1698</v>
      </c>
      <c r="F532" s="130" t="s">
        <v>1699</v>
      </c>
      <c r="G532" s="104">
        <f>"&amp;hellip; there are lessons to be learned from the data center and solar industries &amp;mdash; deploying high-powered electrical infrastructure at scale, with high reliability and low cost."</f>
        <v>0</v>
      </c>
      <c r="H532" s="132">
        <f>"&lt;b&gt;Diana&amp;nbsp;Kotler&lt;/b&gt;, Exec. Dir., Anaheim Transp. Netw."</f>
        <v>0</v>
      </c>
      <c r="I532" s="106"/>
      <c r="J532" s="107"/>
      <c r="K532" s="108"/>
      <c r="L532" s="159">
        <f>"Register for both webinars:  http://subscribe.act-news.com/AMPLY_Sept_Webinars"</f>
        <v>0</v>
      </c>
      <c r="M532" s="110"/>
      <c r="N532" s="98"/>
      <c r="O532" s="99" t="s">
        <v>1665</v>
      </c>
      <c r="P532" s="130" t="s">
        <v>991</v>
      </c>
      <c r="Q532" s="187" t="s">
        <v>54</v>
      </c>
      <c r="R532" s="128" t="s">
        <v>55</v>
      </c>
      <c r="S532" s="85"/>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row>
    <row r="533" spans="1:64" s="86" customFormat="1" ht="33" customHeight="1">
      <c r="A533" s="102"/>
      <c r="B533" s="88"/>
      <c r="C533" s="89"/>
      <c r="D533" s="130"/>
      <c r="E533" s="91"/>
      <c r="F533" s="130"/>
      <c r="G533" s="104"/>
      <c r="H533" s="132">
        <f>"&lt;b&gt;Andrew&amp;nbsp;Bui&lt;/b&gt;, VP, Nat&amp;rsquo;l Transp. Innov. Lead, AECOM"</f>
        <v>0</v>
      </c>
      <c r="I533" s="106"/>
      <c r="J533" s="107"/>
      <c r="K533" s="108"/>
      <c r="L533" s="159"/>
      <c r="M533" s="110"/>
      <c r="N533" s="98"/>
      <c r="O533" s="99"/>
      <c r="P533" s="130"/>
      <c r="Q533" s="187"/>
      <c r="R533" s="128"/>
      <c r="S533" s="85"/>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row>
    <row r="534" spans="1:64" s="86" customFormat="1" ht="33" customHeight="1">
      <c r="A534" s="102"/>
      <c r="B534" s="88"/>
      <c r="C534" s="89"/>
      <c r="D534" s="130"/>
      <c r="E534" s="91"/>
      <c r="F534" s="130"/>
      <c r="G534" s="104"/>
      <c r="H534" s="132">
        <f>"&lt;b&gt;Vic&amp;nbsp;Shao&lt;/b&gt;, Founder &amp; CEO, AMPLY"</f>
        <v>0</v>
      </c>
      <c r="I534" s="106"/>
      <c r="J534" s="107"/>
      <c r="K534" s="108"/>
      <c r="L534" s="159"/>
      <c r="M534" s="110"/>
      <c r="N534" s="98"/>
      <c r="O534" s="99"/>
      <c r="P534" s="130"/>
      <c r="Q534" s="187"/>
      <c r="R534" s="128"/>
      <c r="S534" s="85"/>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row>
    <row r="535" spans="1:64" s="86" customFormat="1" ht="33" customHeight="1">
      <c r="A535" s="129" t="s">
        <v>1700</v>
      </c>
      <c r="B535" s="88" t="s">
        <v>1701</v>
      </c>
      <c r="C535" s="89">
        <f>"https://www.intertraffic.com/webinars/?actioncode=ITAW400070"</f>
        <v>0</v>
      </c>
      <c r="D535" s="130"/>
      <c r="E535" s="91" t="s">
        <v>1702</v>
      </c>
      <c r="F535" s="130" t="s">
        <v>1703</v>
      </c>
      <c r="G535" s="104">
        <f>"A positive parking experience &amp;hellip; requires a new holistic approach."</f>
        <v>0</v>
      </c>
      <c r="H535" s="132">
        <f>"&lt;b&gt;Peggy&amp;nbsp;Mertiny&lt;/b&gt;, Cerema"</f>
        <v>0</v>
      </c>
      <c r="I535" s="106"/>
      <c r="J535" s="107"/>
      <c r="K535" s="134"/>
      <c r="L535" s="96">
        <f>"Mandatory Free Registration:  https://registration.gesevent.com/survey/3kuqu9tqam84s/register?"</f>
        <v>0</v>
      </c>
      <c r="M535" s="110"/>
      <c r="N535" s="98"/>
      <c r="O535" s="99" t="s">
        <v>1296</v>
      </c>
      <c r="P535" s="130" t="s">
        <v>1537</v>
      </c>
      <c r="Q535" s="187" t="s">
        <v>54</v>
      </c>
      <c r="R535" s="128" t="s">
        <v>55</v>
      </c>
      <c r="S535" s="85"/>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row>
    <row r="536" spans="1:64" s="86" customFormat="1" ht="30" customHeight="1">
      <c r="A536" s="129"/>
      <c r="B536" s="88"/>
      <c r="C536" s="89"/>
      <c r="D536" s="130"/>
      <c r="E536" s="91"/>
      <c r="F536" s="130"/>
      <c r="G536" s="104"/>
      <c r="H536" s="132">
        <f>"&lt;b&gt;Thierry&amp;nbsp;Brusseaux&lt;/b&gt;, Flowbird"</f>
        <v>0</v>
      </c>
      <c r="I536" s="106"/>
      <c r="J536" s="107"/>
      <c r="K536" s="134"/>
      <c r="L536" s="96"/>
      <c r="M536" s="110"/>
      <c r="N536" s="98"/>
      <c r="O536" s="99"/>
      <c r="P536" s="130"/>
      <c r="Q536" s="187"/>
      <c r="R536" s="128"/>
      <c r="S536" s="85"/>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row>
    <row r="537" spans="1:64" s="86" customFormat="1" ht="46.5" customHeight="1">
      <c r="A537" s="129"/>
      <c r="B537" s="88"/>
      <c r="C537" s="89">
        <f>"Alt. Link:  https://content.myrai.nl/viewer?tid=TIDP2385933XD9EE6DA4661248518F51963B863D046AYI2"</f>
        <v>0</v>
      </c>
      <c r="D537" s="130"/>
      <c r="E537" s="91"/>
      <c r="F537" s="148" t="s">
        <v>1704</v>
      </c>
      <c r="G537" s="104"/>
      <c r="H537" s="132">
        <f>"&lt;b&gt;Esther&amp;nbsp;van&amp;nbsp;der&amp;nbsp;Meer&lt;/b&gt;, Park Now"</f>
        <v>0</v>
      </c>
      <c r="I537" s="106"/>
      <c r="J537" s="107"/>
      <c r="K537" s="134"/>
      <c r="L537" s="96"/>
      <c r="M537" s="110"/>
      <c r="N537" s="98"/>
      <c r="O537" s="99"/>
      <c r="P537" s="130"/>
      <c r="Q537" s="187"/>
      <c r="R537" s="128"/>
      <c r="S537" s="85"/>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row>
    <row r="538" spans="1:64" s="86" customFormat="1" ht="28.5" customHeight="1">
      <c r="A538" s="129"/>
      <c r="B538" s="88"/>
      <c r="C538" s="89"/>
      <c r="D538" s="130"/>
      <c r="E538" s="91"/>
      <c r="F538" s="148"/>
      <c r="G538" s="104"/>
      <c r="H538" s="132" t="s">
        <v>1705</v>
      </c>
      <c r="I538" s="106"/>
      <c r="J538" s="107"/>
      <c r="K538" s="134"/>
      <c r="L538" s="96"/>
      <c r="M538" s="110"/>
      <c r="N538" s="98"/>
      <c r="O538" s="99"/>
      <c r="P538" s="130"/>
      <c r="Q538" s="187"/>
      <c r="R538" s="128"/>
      <c r="S538" s="85"/>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row>
    <row r="539" spans="1:64" ht="41.25" customHeight="1">
      <c r="A539" s="87" t="s">
        <v>350</v>
      </c>
      <c r="B539" s="88" t="s">
        <v>1706</v>
      </c>
      <c r="C539" s="89">
        <f>"https://fall.smartcitiesconnect.org/"</f>
        <v>0</v>
      </c>
      <c r="D539" s="130" t="s">
        <v>1707</v>
      </c>
      <c r="E539" s="91" t="s">
        <v>1708</v>
      </c>
      <c r="F539" s="130" t="s">
        <v>354</v>
      </c>
      <c r="G539" s="160" t="s">
        <v>355</v>
      </c>
      <c r="H539" s="186"/>
      <c r="I539" s="301"/>
      <c r="J539" s="120" t="s">
        <v>1709</v>
      </c>
      <c r="K539" s="134"/>
      <c r="L539" s="145">
        <f>"Panel Proposals:  https://fall.smartcitiesconnect.org/panel/form.html"</f>
        <v>0</v>
      </c>
      <c r="M539" s="173"/>
      <c r="N539" s="508" t="s">
        <v>1710</v>
      </c>
      <c r="O539" s="99" t="s">
        <v>357</v>
      </c>
      <c r="P539" s="130">
        <f>"https://techconnect.org/events/"</f>
        <v>0</v>
      </c>
      <c r="Q539" s="100" t="s">
        <v>54</v>
      </c>
      <c r="R539" s="128" t="s">
        <v>55</v>
      </c>
      <c r="S539" s="141"/>
      <c r="T539" s="86"/>
      <c r="U539" s="86"/>
      <c r="V539" s="86"/>
      <c r="W539" s="86"/>
      <c r="X539" s="86"/>
      <c r="Y539" s="86"/>
      <c r="Z539" s="86"/>
      <c r="AA539" s="86"/>
      <c r="AB539" s="86"/>
      <c r="AC539" s="86"/>
      <c r="AD539" s="86"/>
      <c r="AE539" s="86"/>
      <c r="AF539" s="86"/>
      <c r="AG539" s="86"/>
      <c r="AH539" s="86"/>
      <c r="AI539" s="86"/>
      <c r="AJ539" s="86"/>
      <c r="AK539" s="86"/>
      <c r="AL539" s="86"/>
      <c r="AM539" s="86"/>
      <c r="AN539" s="86"/>
      <c r="AO539" s="86"/>
      <c r="AP539" s="86"/>
      <c r="AQ539" s="86"/>
      <c r="AR539" s="86"/>
      <c r="AS539" s="86"/>
      <c r="AT539" s="86"/>
      <c r="AU539" s="86"/>
      <c r="AV539" s="86"/>
      <c r="AW539" s="86"/>
      <c r="AX539" s="86"/>
      <c r="AY539" s="86"/>
      <c r="AZ539" s="86"/>
      <c r="BA539" s="86"/>
      <c r="BB539" s="86"/>
      <c r="BC539" s="86"/>
      <c r="BD539" s="86"/>
      <c r="BE539" s="86"/>
      <c r="BF539" s="86"/>
      <c r="BG539" s="86"/>
      <c r="BH539" s="86"/>
      <c r="BI539" s="86"/>
      <c r="BJ539" s="86"/>
      <c r="BK539" s="86"/>
      <c r="BL539" s="86"/>
    </row>
    <row r="540" spans="1:64" ht="42" customHeight="1">
      <c r="A540" s="87"/>
      <c r="B540" s="88"/>
      <c r="C540" s="89"/>
      <c r="D540" s="130"/>
      <c r="E540" s="91"/>
      <c r="F540" s="130"/>
      <c r="G540" s="160"/>
      <c r="H540" s="186"/>
      <c r="I540" s="301"/>
      <c r="J540" s="120"/>
      <c r="K540" s="134"/>
      <c r="L540" s="159">
        <f>"Smart Cities Startup Challenge:  https://spring.smartcitiesconnect.org/innovation_challenge.html"</f>
        <v>0</v>
      </c>
      <c r="M540" s="110">
        <f>"https://spring.smartcitiesconnect.org/innovation/form.html"</f>
        <v>0</v>
      </c>
      <c r="N540" s="146" t="s">
        <v>356</v>
      </c>
      <c r="O540" s="99"/>
      <c r="P540" s="130"/>
      <c r="Q540" s="100"/>
      <c r="R540" s="128"/>
      <c r="S540" s="141"/>
      <c r="T540" s="86"/>
      <c r="U540" s="86"/>
      <c r="V540" s="86"/>
      <c r="W540" s="86"/>
      <c r="X540" s="86"/>
      <c r="Y540" s="86"/>
      <c r="Z540" s="86"/>
      <c r="AA540" s="86"/>
      <c r="AB540" s="86"/>
      <c r="AC540" s="86"/>
      <c r="AD540" s="86"/>
      <c r="AE540" s="86"/>
      <c r="AF540" s="86"/>
      <c r="AG540" s="86"/>
      <c r="AH540" s="86"/>
      <c r="AI540" s="86"/>
      <c r="AJ540" s="86"/>
      <c r="AK540" s="86"/>
      <c r="AL540" s="86"/>
      <c r="AM540" s="86"/>
      <c r="AN540" s="86"/>
      <c r="AO540" s="86"/>
      <c r="AP540" s="86"/>
      <c r="AQ540" s="86"/>
      <c r="AR540" s="86"/>
      <c r="AS540" s="86"/>
      <c r="AT540" s="86"/>
      <c r="AU540" s="86"/>
      <c r="AV540" s="86"/>
      <c r="AW540" s="86"/>
      <c r="AX540" s="86"/>
      <c r="AY540" s="86"/>
      <c r="AZ540" s="86"/>
      <c r="BA540" s="86"/>
      <c r="BB540" s="86"/>
      <c r="BC540" s="86"/>
      <c r="BD540" s="86"/>
      <c r="BE540" s="86"/>
      <c r="BF540" s="86"/>
      <c r="BG540" s="86"/>
      <c r="BH540" s="86"/>
      <c r="BI540" s="86"/>
      <c r="BJ540" s="86"/>
      <c r="BK540" s="86"/>
      <c r="BL540" s="86"/>
    </row>
    <row r="541" spans="1:64" ht="61.5" customHeight="1">
      <c r="A541" s="112" t="s">
        <v>1711</v>
      </c>
      <c r="B541" s="113" t="s">
        <v>1712</v>
      </c>
      <c r="C541" s="143">
        <f>"https://www.sae.org/learn/content/c1872/"</f>
        <v>0</v>
      </c>
      <c r="D541" s="148" t="s">
        <v>479</v>
      </c>
      <c r="E541" s="239" t="s">
        <v>1713</v>
      </c>
      <c r="F541" s="148" t="s">
        <v>1714</v>
      </c>
      <c r="G541" s="117" t="s">
        <v>1715</v>
      </c>
      <c r="H541" s="217" t="s">
        <v>1716</v>
      </c>
      <c r="I541" s="215"/>
      <c r="J541" s="256"/>
      <c r="K541" s="121"/>
      <c r="L541" s="296" t="s">
        <v>484</v>
      </c>
      <c r="M541" s="123" t="s">
        <v>395</v>
      </c>
      <c r="N541" s="297"/>
      <c r="O541" s="222" t="s">
        <v>396</v>
      </c>
      <c r="P541" s="148" t="s">
        <v>397</v>
      </c>
      <c r="Q541" s="126" t="s">
        <v>54</v>
      </c>
      <c r="R541" s="213" t="s">
        <v>55</v>
      </c>
      <c r="S541" s="85"/>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row>
    <row r="542" spans="1:64" s="86" customFormat="1" ht="60.75" customHeight="1">
      <c r="A542" s="507" t="s">
        <v>1002</v>
      </c>
      <c r="B542" s="321" t="s">
        <v>1003</v>
      </c>
      <c r="C542" s="322">
        <f>"http://rstrail.nl/new/course-structure/trail-international-phd-summer-school-2020/"</f>
        <v>0</v>
      </c>
      <c r="D542" s="323" t="s">
        <v>1004</v>
      </c>
      <c r="E542" s="324" t="s">
        <v>1717</v>
      </c>
      <c r="F542" s="323" t="s">
        <v>1006</v>
      </c>
      <c r="G542" s="504" t="s">
        <v>1007</v>
      </c>
      <c r="H542" s="326" t="s">
        <v>1008</v>
      </c>
      <c r="I542" s="169"/>
      <c r="J542" s="509">
        <f>"(+31) 015-2786046"</f>
        <v>0</v>
      </c>
      <c r="K542" s="179"/>
      <c r="L542" s="510">
        <f>"Application form:  https://docs.google.com/forms/d/e/1FAIpQLScKRD7f4a5aSm2dgcrHqdvh1GrFiP_sHk-Yy87Z-PaOPNClZw/viewform"</f>
        <v>0</v>
      </c>
      <c r="M542" s="510"/>
      <c r="N542" s="303" t="s">
        <v>1718</v>
      </c>
      <c r="O542" s="203" t="s">
        <v>519</v>
      </c>
      <c r="P542" s="323">
        <f>"https://www.ieee-itss.org/"</f>
        <v>0</v>
      </c>
      <c r="Q542" s="372" t="s">
        <v>1010</v>
      </c>
      <c r="R542" s="333" t="s">
        <v>55</v>
      </c>
      <c r="S542" s="85"/>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row>
    <row r="543" spans="1:19" s="86" customFormat="1" ht="63" customHeight="1">
      <c r="A543" s="87" t="s">
        <v>1719</v>
      </c>
      <c r="B543" s="88" t="s">
        <v>1720</v>
      </c>
      <c r="C543" s="89">
        <f>"https://register.gotowebinar.com/register/2810856805129159691"</f>
        <v>0</v>
      </c>
      <c r="D543" s="183"/>
      <c r="E543" s="91" t="s">
        <v>1721</v>
      </c>
      <c r="F543" s="183" t="s">
        <v>1722</v>
      </c>
      <c r="G543" s="104">
        <f>"The seminar aims to share the advancements in the linear induction machine topologies, &amp;hellip; such as linear metro, low-speed maglev, and so on."</f>
        <v>0</v>
      </c>
      <c r="H543" s="132">
        <f>"&lt;b&gt;Wei&amp;nbsp;Xu&lt;/b&gt;, Prof., Huazhong Univ. of Sci. and Techn. (HUST)"</f>
        <v>0</v>
      </c>
      <c r="I543" s="135"/>
      <c r="J543" s="133"/>
      <c r="K543" s="307"/>
      <c r="L543" s="109"/>
      <c r="M543" s="109"/>
      <c r="N543" s="303"/>
      <c r="O543" s="99" t="s">
        <v>103</v>
      </c>
      <c r="P543" s="183" t="s">
        <v>104</v>
      </c>
      <c r="Q543" s="100" t="s">
        <v>54</v>
      </c>
      <c r="R543" s="128" t="s">
        <v>55</v>
      </c>
      <c r="S543" s="141"/>
    </row>
    <row r="544" spans="1:64" s="86" customFormat="1" ht="26.25" customHeight="1">
      <c r="A544" s="87" t="s">
        <v>1723</v>
      </c>
      <c r="B544" s="88" t="s">
        <v>1724</v>
      </c>
      <c r="C544" s="89">
        <f>"https://www.act-news.com/webinar/how-renewable-gases-can-help-decentralize-the-grid-fuel-cells-and-microgrids/"</f>
        <v>0</v>
      </c>
      <c r="D544" s="130"/>
      <c r="E544" s="209" t="s">
        <v>1725</v>
      </c>
      <c r="F544" s="130" t="s">
        <v>1726</v>
      </c>
      <c r="G544" s="104">
        <f>"Old paradigms of energy management must be discarded and reimagined &amp;hellip;. we will showcase fuel cells and microgrids, and hear from the pioneers"</f>
        <v>0</v>
      </c>
      <c r="H544" s="132">
        <f>"&lt;b&gt;Katrina&amp;nbsp;Fritz,&lt;/b&gt; Exec. Dir., CA Stationary Fuel Collaborative "</f>
        <v>0</v>
      </c>
      <c r="I544" s="301"/>
      <c r="J544" s="198"/>
      <c r="K544" s="134"/>
      <c r="L544" s="109">
        <f>"registration:  https://learn.renewablegas360.com/RG360_Webinar4_Registration"</f>
        <v>0</v>
      </c>
      <c r="M544" s="110"/>
      <c r="N544" s="336"/>
      <c r="O544" s="359" t="s">
        <v>420</v>
      </c>
      <c r="P544" s="130" t="s">
        <v>991</v>
      </c>
      <c r="Q544" s="100" t="s">
        <v>54</v>
      </c>
      <c r="R544" s="128" t="s">
        <v>55</v>
      </c>
      <c r="S544" s="85"/>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row>
    <row r="545" spans="1:64" s="86" customFormat="1" ht="40.5" customHeight="1">
      <c r="A545" s="87"/>
      <c r="B545" s="88"/>
      <c r="C545" s="89"/>
      <c r="D545" s="130"/>
      <c r="E545" s="130"/>
      <c r="F545" s="130"/>
      <c r="G545" s="104"/>
      <c r="H545" s="132">
        <f>"&lt;b&gt;Venkat&amp;nbsp;Venkataraman&lt;/b&gt;, Exec. VP, Eng. &amp; Chief Techn. Officer, Bloom Energy"</f>
        <v>0</v>
      </c>
      <c r="I545" s="301"/>
      <c r="J545" s="198"/>
      <c r="K545" s="134"/>
      <c r="L545" s="109"/>
      <c r="M545" s="110"/>
      <c r="N545" s="336"/>
      <c r="O545" s="359"/>
      <c r="P545" s="130"/>
      <c r="Q545" s="100"/>
      <c r="R545" s="128"/>
      <c r="S545" s="85"/>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row>
    <row r="546" spans="1:64" s="86" customFormat="1" ht="25.5" customHeight="1">
      <c r="A546" s="87"/>
      <c r="B546" s="88"/>
      <c r="C546" s="89"/>
      <c r="D546" s="130"/>
      <c r="E546" s="130"/>
      <c r="F546" s="130"/>
      <c r="G546" s="104"/>
      <c r="H546" s="132">
        <f>"&lt;b&gt;Jorge&amp;nbsp;Elizondo&lt;/b&gt;, Chief Techn. Officer, Heila Technologies"</f>
        <v>0</v>
      </c>
      <c r="I546" s="301"/>
      <c r="J546" s="198"/>
      <c r="K546" s="134"/>
      <c r="L546" s="109"/>
      <c r="M546" s="110"/>
      <c r="N546" s="336"/>
      <c r="O546" s="359"/>
      <c r="P546" s="130"/>
      <c r="Q546" s="100"/>
      <c r="R546" s="128"/>
      <c r="S546" s="85"/>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row>
    <row r="547" spans="1:64" s="86" customFormat="1" ht="25.5" customHeight="1">
      <c r="A547" s="87"/>
      <c r="B547" s="88"/>
      <c r="C547" s="89"/>
      <c r="D547" s="130"/>
      <c r="E547" s="130"/>
      <c r="F547" s="130"/>
      <c r="G547" s="104"/>
      <c r="H547" s="132">
        <f>"&lt;b&gt;Frank&amp;nbsp;Wolak&lt;/b&gt;, Sr. VP, Sales &amp;ndash; Americas, FuelCell Energy"</f>
        <v>0</v>
      </c>
      <c r="I547" s="301"/>
      <c r="J547" s="198"/>
      <c r="K547" s="134"/>
      <c r="L547" s="109"/>
      <c r="M547" s="110"/>
      <c r="N547" s="336"/>
      <c r="O547" s="359"/>
      <c r="P547" s="130"/>
      <c r="Q547" s="100"/>
      <c r="R547" s="128"/>
      <c r="S547" s="85"/>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row>
    <row r="548" spans="1:64" s="86" customFormat="1" ht="34.5" customHeight="1">
      <c r="A548" s="397" t="s">
        <v>1727</v>
      </c>
      <c r="B548" s="321" t="s">
        <v>1728</v>
      </c>
      <c r="C548" s="322">
        <f>"https://chargedevs.com/newswire/the-tech/multiphysics-modeling-of-fuel-cells-free-webinar/"</f>
        <v>0</v>
      </c>
      <c r="D548" s="323"/>
      <c r="E548" s="324" t="s">
        <v>1729</v>
      </c>
      <c r="F548" s="323" t="s">
        <v>1730</v>
      </c>
      <c r="G548" s="511">
        <f>"&amp;hellip; learn more about the multiphysics simulations of fuel cells."</f>
        <v>0</v>
      </c>
      <c r="H548" s="326">
        <f>"&lt;b&gt;Kyle&amp;nbsp;Koppenhoefer&lt;/b&gt;, AltaSim Technologies"</f>
        <v>0</v>
      </c>
      <c r="I548" s="106"/>
      <c r="J548" s="198"/>
      <c r="K548" s="108"/>
      <c r="L548" s="109">
        <f>"Registration:  https://us02web.zoom.us/webinar/register/3615998507452/WN_2X0HyKP5QgqUKZgGiy-Mjg"</f>
        <v>0</v>
      </c>
      <c r="M548" s="109"/>
      <c r="N548" s="303"/>
      <c r="O548" s="203" t="s">
        <v>153</v>
      </c>
      <c r="P548" s="323" t="s">
        <v>1731</v>
      </c>
      <c r="Q548" s="372" t="s">
        <v>54</v>
      </c>
      <c r="R548" s="333" t="s">
        <v>55</v>
      </c>
      <c r="S548" s="85"/>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row>
    <row r="549" spans="1:64" s="86" customFormat="1" ht="33.75" customHeight="1">
      <c r="A549" s="397"/>
      <c r="B549" s="321"/>
      <c r="C549" s="322"/>
      <c r="D549" s="323"/>
      <c r="E549" s="323"/>
      <c r="F549" s="323"/>
      <c r="G549" s="511"/>
      <c r="H549" s="326">
        <f>"&lt;b&gt;Luke&amp;nbsp;Gritter&lt;/b&gt;, AltaSim Technologies"</f>
        <v>0</v>
      </c>
      <c r="I549" s="106"/>
      <c r="J549" s="198"/>
      <c r="K549" s="108"/>
      <c r="L549" s="109"/>
      <c r="M549" s="109"/>
      <c r="N549" s="303"/>
      <c r="O549" s="203"/>
      <c r="P549" s="323"/>
      <c r="Q549" s="372"/>
      <c r="R549" s="333"/>
      <c r="S549" s="85"/>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row>
    <row r="550" spans="1:64" s="86" customFormat="1" ht="24" customHeight="1">
      <c r="A550" s="397"/>
      <c r="B550" s="321"/>
      <c r="C550" s="322"/>
      <c r="D550" s="323"/>
      <c r="E550" s="323"/>
      <c r="F550" s="323"/>
      <c r="G550" s="511"/>
      <c r="H550" s="326">
        <f>"&lt;b&gt;Yeswanth&amp;nbsp;Rao&lt;/b&gt;, COMSOL"</f>
        <v>0</v>
      </c>
      <c r="I550" s="106"/>
      <c r="J550" s="198"/>
      <c r="K550" s="108"/>
      <c r="L550" s="109"/>
      <c r="M550" s="109"/>
      <c r="N550" s="303"/>
      <c r="O550" s="203"/>
      <c r="P550" s="323"/>
      <c r="Q550" s="372"/>
      <c r="R550" s="333"/>
      <c r="S550" s="85"/>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row>
    <row r="551" spans="1:64" s="86" customFormat="1" ht="50.25" customHeight="1">
      <c r="A551" s="397">
        <f>"Honoring VINT CERF:&amp;nbsp; A &amp;ldquo;Father of the Internet&amp;rdquo;"</f>
        <v>0</v>
      </c>
      <c r="B551" s="321" t="s">
        <v>1732</v>
      </c>
      <c r="C551" s="322">
        <f>"https://teslasciencecenter.org/events/gala2020/"</f>
        <v>0</v>
      </c>
      <c r="D551" s="323" t="s">
        <v>1733</v>
      </c>
      <c r="E551" s="324" t="s">
        <v>1734</v>
      </c>
      <c r="F551" s="323" t="s">
        <v>1735</v>
      </c>
      <c r="G551" s="325">
        <f>"[played a] key role in developing the World Wide Web [and] co-wrote the first TCP protocol &amp;hellip; "</f>
        <v>0</v>
      </c>
      <c r="H551" s="190"/>
      <c r="I551" s="106"/>
      <c r="J551" s="198"/>
      <c r="K551" s="134"/>
      <c r="L551" s="109">
        <f>"registration:  https://teslasciencecenter.z2systems.com/np/clients/teslasciencecenter/eventRegistration.jsp?event=657&amp;"</f>
        <v>0</v>
      </c>
      <c r="M551" s="110">
        <f>"$25 – $200"</f>
        <v>0</v>
      </c>
      <c r="N551" s="303"/>
      <c r="O551" s="203" t="s">
        <v>66</v>
      </c>
      <c r="P551" s="323" t="s">
        <v>662</v>
      </c>
      <c r="Q551" s="333" t="s">
        <v>67</v>
      </c>
      <c r="R551" s="333" t="s">
        <v>68</v>
      </c>
      <c r="S551" s="85"/>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row>
    <row r="552" spans="1:64" s="86" customFormat="1" ht="50.25" customHeight="1">
      <c r="A552" s="397"/>
      <c r="B552" s="321"/>
      <c r="C552" s="322"/>
      <c r="D552" s="323"/>
      <c r="E552" s="323"/>
      <c r="F552" s="323"/>
      <c r="G552" s="325"/>
      <c r="H552" s="190"/>
      <c r="I552" s="106"/>
      <c r="J552" s="198"/>
      <c r="K552" s="134"/>
      <c r="L552" s="109">
        <f>"sponsorship:  https://teslasciencecenter.org/wp-content/uploads/2020/10/TSCW_Gala2020_SponsorshipRGB.pdf"</f>
        <v>0</v>
      </c>
      <c r="M552" s="110">
        <f>"$1,000 – $40,00"</f>
        <v>0</v>
      </c>
      <c r="N552" s="303"/>
      <c r="O552" s="203"/>
      <c r="P552" s="323"/>
      <c r="Q552" s="333"/>
      <c r="R552" s="333"/>
      <c r="S552" s="85"/>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row>
    <row r="553" spans="1:64" ht="61.5" customHeight="1">
      <c r="A553" s="129" t="s">
        <v>1026</v>
      </c>
      <c r="B553" s="88" t="s">
        <v>1027</v>
      </c>
      <c r="C553" s="89">
        <f>"http://forum-ists2020.org/"</f>
        <v>0</v>
      </c>
      <c r="D553" s="90" t="s">
        <v>1736</v>
      </c>
      <c r="E553" s="512" t="s">
        <v>1028</v>
      </c>
      <c r="F553" s="90" t="s">
        <v>1029</v>
      </c>
      <c r="G553" s="104">
        <f>"Electrification | Sharification | Connected&amp;nbsp;Automation"</f>
        <v>0</v>
      </c>
      <c r="H553" s="365"/>
      <c r="I553" s="106"/>
      <c r="J553" s="107"/>
      <c r="K553" s="134">
        <f>"http://forum-ists2020.org/contact/"</f>
        <v>0</v>
      </c>
      <c r="L553" s="159">
        <f>"http://forum-ists2020.org/call-for-papers/"</f>
        <v>0</v>
      </c>
      <c r="M553" s="110">
        <f>"http://forum-ists2020.org/1772-2/"</f>
        <v>0</v>
      </c>
      <c r="N553" s="180" t="s">
        <v>1030</v>
      </c>
      <c r="O553" s="513" t="s">
        <v>519</v>
      </c>
      <c r="P553" s="90" t="s">
        <v>520</v>
      </c>
      <c r="Q553" s="360" t="s">
        <v>54</v>
      </c>
      <c r="R553" s="254" t="s">
        <v>55</v>
      </c>
      <c r="S553" s="85"/>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row>
    <row r="554" spans="1:64" ht="61.5" customHeight="1">
      <c r="A554" s="129"/>
      <c r="B554" s="88"/>
      <c r="C554" s="89"/>
      <c r="D554" s="90"/>
      <c r="E554" s="512"/>
      <c r="F554" s="90"/>
      <c r="G554" s="104"/>
      <c r="H554" s="365"/>
      <c r="I554" s="106"/>
      <c r="J554" s="107"/>
      <c r="K554" s="134"/>
      <c r="L554" s="159">
        <f>"http://forum-ists2020.org/wp-content/uploads/2019/12/Forum-ISTS-2020-Call-for-Contributions-14.pdf"</f>
        <v>0</v>
      </c>
      <c r="M554" s="110"/>
      <c r="N554" s="180"/>
      <c r="O554" s="513"/>
      <c r="P554" s="90"/>
      <c r="Q554" s="360"/>
      <c r="R554" s="254"/>
      <c r="S554" s="85"/>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row>
    <row r="555" spans="1:64" ht="61.5" customHeight="1">
      <c r="A555" s="129"/>
      <c r="B555" s="88"/>
      <c r="C555" s="89"/>
      <c r="D555" s="90"/>
      <c r="E555" s="91" t="s">
        <v>1737</v>
      </c>
      <c r="F555" s="90"/>
      <c r="G555" s="104"/>
      <c r="H555" s="365"/>
      <c r="I555" s="106"/>
      <c r="J555" s="107"/>
      <c r="K555" s="134"/>
      <c r="L555" s="159">
        <f>"Workshops &amp; Tutorials:  http://forum-ists2020.org/call-for-workshops-and-tutorials/"</f>
        <v>0</v>
      </c>
      <c r="M555" s="110">
        <f>"http://forum-ists2020.org/wp-content/uploads/2019/09/Call-for-workshops-Forum-ISTS2020-10.pdf"</f>
        <v>0</v>
      </c>
      <c r="N555" s="180" t="s">
        <v>1030</v>
      </c>
      <c r="O555" s="513"/>
      <c r="P555" s="90"/>
      <c r="Q555" s="360"/>
      <c r="R555" s="254"/>
      <c r="S555" s="85"/>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row>
    <row r="556" spans="1:64" ht="61.5" customHeight="1">
      <c r="A556" s="129"/>
      <c r="B556" s="88"/>
      <c r="C556" s="89"/>
      <c r="D556" s="90"/>
      <c r="E556" s="91"/>
      <c r="F556" s="90"/>
      <c r="G556" s="104"/>
      <c r="H556" s="365"/>
      <c r="I556" s="106"/>
      <c r="J556" s="107"/>
      <c r="K556" s="134"/>
      <c r="L556" s="159">
        <f>"Special Sessions:  http://forum-ists2020.org/call-for-special-sessions/"</f>
        <v>0</v>
      </c>
      <c r="M556" s="110">
        <f>"Dr. Meng Wang  mailto:m.wang@tudelft.nl"</f>
        <v>0</v>
      </c>
      <c r="N556" s="146" t="s">
        <v>1032</v>
      </c>
      <c r="O556" s="513"/>
      <c r="P556" s="90"/>
      <c r="Q556" s="360"/>
      <c r="R556" s="254"/>
      <c r="S556" s="85"/>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row>
    <row r="557" spans="1:64" ht="46.5" customHeight="1">
      <c r="A557" s="102">
        <f>"Advanced Automotive Battery Conference"</f>
        <v>0</v>
      </c>
      <c r="B557" s="130" t="s">
        <v>840</v>
      </c>
      <c r="C557" s="130">
        <f>"https://www.advancedautobat.com/us"</f>
        <v>0</v>
      </c>
      <c r="D557" s="130" t="s">
        <v>1738</v>
      </c>
      <c r="E557" s="91" t="s">
        <v>1739</v>
      </c>
      <c r="F557" s="130">
        <f>"aabc-wh.png    238 x 117"</f>
        <v>0</v>
      </c>
      <c r="G557" s="136" t="s">
        <v>843</v>
      </c>
      <c r="H557" s="132" t="s">
        <v>844</v>
      </c>
      <c r="I557" s="106" t="s">
        <v>1740</v>
      </c>
      <c r="J557" s="133">
        <f>"vox: (781) 972-5400"</f>
        <v>0</v>
      </c>
      <c r="K557" s="108">
        <f>"https://www.advancedautobat.com/contact-us"</f>
        <v>0</v>
      </c>
      <c r="L557" s="159">
        <f>"Speaker proposal:  https://www.advancedautobat.com/us/speaker-proposal"</f>
        <v>0</v>
      </c>
      <c r="M557" s="110"/>
      <c r="N557" s="229" t="s">
        <v>845</v>
      </c>
      <c r="O557" s="203" t="s">
        <v>109</v>
      </c>
      <c r="P557" s="195" t="s">
        <v>846</v>
      </c>
      <c r="Q557" s="372" t="s">
        <v>54</v>
      </c>
      <c r="R557" s="373" t="s">
        <v>847</v>
      </c>
      <c r="S557" s="85"/>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row>
    <row r="558" spans="1:64" ht="46.5" customHeight="1">
      <c r="A558" s="102"/>
      <c r="B558" s="130"/>
      <c r="C558" s="130"/>
      <c r="D558" s="130"/>
      <c r="E558" s="91"/>
      <c r="F558" s="91"/>
      <c r="G558" s="136"/>
      <c r="H558" s="132">
        <f>"Brochure Request (complete):  https://www.advancedautobat.com/us/2020-brochure-download-form"</f>
        <v>0</v>
      </c>
      <c r="I558" s="106"/>
      <c r="J558" s="133">
        <f>"fax: (781) 972-5425"</f>
        <v>0</v>
      </c>
      <c r="K558" s="108">
        <f>"mailto:ce@cambridgeenertech.com"</f>
        <v>0</v>
      </c>
      <c r="L558" s="159"/>
      <c r="M558" s="110"/>
      <c r="N558" s="229"/>
      <c r="O558" s="203"/>
      <c r="P558" s="195"/>
      <c r="Q558" s="372"/>
      <c r="R558" s="373"/>
      <c r="S558" s="85"/>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row>
    <row r="559" spans="1:64" s="86" customFormat="1" ht="61.5" customHeight="1">
      <c r="A559" s="87" t="s">
        <v>550</v>
      </c>
      <c r="B559" s="88" t="s">
        <v>1741</v>
      </c>
      <c r="C559" s="89">
        <f>"https://www.sae.org/learn/content/c0626/"</f>
        <v>0</v>
      </c>
      <c r="D559" s="183" t="s">
        <v>552</v>
      </c>
      <c r="E559" s="91" t="s">
        <v>1742</v>
      </c>
      <c r="F559" s="183" t="s">
        <v>554</v>
      </c>
      <c r="G559" s="104" t="s">
        <v>555</v>
      </c>
      <c r="H559" s="132" t="s">
        <v>556</v>
      </c>
      <c r="I559" s="135"/>
      <c r="J559" s="133"/>
      <c r="K559" s="108"/>
      <c r="L559" s="514" t="s">
        <v>1743</v>
      </c>
      <c r="M559" s="110" t="s">
        <v>395</v>
      </c>
      <c r="N559" s="336"/>
      <c r="O559" s="359" t="s">
        <v>396</v>
      </c>
      <c r="P559" s="183" t="s">
        <v>397</v>
      </c>
      <c r="Q559" s="360" t="s">
        <v>54</v>
      </c>
      <c r="R559" s="128" t="s">
        <v>55</v>
      </c>
      <c r="S559" s="85"/>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row>
    <row r="560" spans="1:64" s="86" customFormat="1" ht="61.5" customHeight="1">
      <c r="A560" s="87">
        <f>"Free Webinar:&amp;nbsp; Municipal EV Readiness Program Module 8: Multi-Unit Dwelling Charging"</f>
        <v>0</v>
      </c>
      <c r="B560" s="88" t="s">
        <v>1744</v>
      </c>
      <c r="C560" s="89">
        <f>"http://events.r20.constantcontact.com/register/event?llr=s6mlhwcab&amp;oeidk=a07eh9wh2fa6c0abb8c"</f>
        <v>0</v>
      </c>
      <c r="D560" s="183"/>
      <c r="E560" s="515" t="s">
        <v>1745</v>
      </c>
      <c r="F560" s="183" t="s">
        <v>1746</v>
      </c>
      <c r="G560" s="104">
        <f>"&amp;hellip; help property managers learn how to expand electric vehicle charging infrastructure &amp;hellip;"</f>
        <v>0</v>
      </c>
      <c r="H560" s="132"/>
      <c r="I560" s="135">
        <f>"Daphne Dixon"</f>
        <v>0</v>
      </c>
      <c r="J560" s="133">
        <f>"203-536-4695"</f>
        <v>0</v>
      </c>
      <c r="K560" s="108">
        <f>"mailto:daphne@livegreenct.org"</f>
        <v>0</v>
      </c>
      <c r="L560" s="514">
        <f>"registration:  https://events.r20.constantcontact.com/register/eventReg?oeidk=a07eh9wh2fa6c0abb8c&amp;oseq=&amp;c=6188cb30-345b-11e3-8e07-d4ae52a6892e"</f>
        <v>0</v>
      </c>
      <c r="M560" s="110"/>
      <c r="N560" s="336"/>
      <c r="O560" s="359" t="s">
        <v>1747</v>
      </c>
      <c r="P560" s="183">
        <f>"http://www.livegreenct.org/"</f>
        <v>0</v>
      </c>
      <c r="Q560" s="100" t="s">
        <v>54</v>
      </c>
      <c r="R560" s="128" t="s">
        <v>55</v>
      </c>
      <c r="S560" s="85"/>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row>
    <row r="561" spans="1:64" ht="61.5" customHeight="1">
      <c r="A561" s="112" t="s">
        <v>1748</v>
      </c>
      <c r="B561" s="113" t="s">
        <v>1749</v>
      </c>
      <c r="C561" s="143">
        <f>"https://aec-conference.eu/"</f>
        <v>0</v>
      </c>
      <c r="D561" s="148" t="s">
        <v>337</v>
      </c>
      <c r="E561" s="516" t="s">
        <v>1750</v>
      </c>
      <c r="F561" s="148" t="s">
        <v>823</v>
      </c>
      <c r="G561" s="117">
        <f>"The mobility ecosystem is set to evolve and change drastically in the coming five years &amp;hellip;.&amp;nbsp; Electromobility is the most efficient solution to achieve carbon neutrality in Europe by 2050."</f>
        <v>0</v>
      </c>
      <c r="H561" s="217" t="s">
        <v>1751</v>
      </c>
      <c r="I561" s="215"/>
      <c r="J561" s="256"/>
      <c r="K561" s="121">
        <f>"https://aec-conference.eu/#contact"</f>
        <v>0</v>
      </c>
      <c r="L561" s="296"/>
      <c r="M561" s="123"/>
      <c r="N561" s="297"/>
      <c r="O561" s="222" t="s">
        <v>187</v>
      </c>
      <c r="P561" s="148" t="s">
        <v>340</v>
      </c>
      <c r="Q561" s="126" t="s">
        <v>54</v>
      </c>
      <c r="R561" s="213" t="s">
        <v>55</v>
      </c>
      <c r="S561" s="85"/>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row>
    <row r="562" spans="1:64" ht="36" customHeight="1">
      <c r="A562" s="102" t="s">
        <v>1752</v>
      </c>
      <c r="B562" s="90" t="s">
        <v>1753</v>
      </c>
      <c r="C562" s="183">
        <f>"https://virtualitscongress.com/?utm_source=ITS+Congress"</f>
        <v>0</v>
      </c>
      <c r="D562" s="90"/>
      <c r="E562" s="91" t="s">
        <v>1754</v>
      </c>
      <c r="F562" s="90" t="s">
        <v>1755</v>
      </c>
      <c r="G562" s="160" t="s">
        <v>1756</v>
      </c>
      <c r="H562" s="105">
        <f>"Registration:  https://itscongress.mci-events.eu/ereg/newreg.php?eventid=554631&amp;categoryid=3737158"</f>
        <v>0</v>
      </c>
      <c r="I562" s="318"/>
      <c r="J562" s="198"/>
      <c r="K562" s="251"/>
      <c r="L562" s="476">
        <f>"https://erticonetwork.com/its-european-congress-2020-call-for-contributions-now-open/"</f>
        <v>0</v>
      </c>
      <c r="M562" s="477">
        <f>"Portal:  https://programme.itsineurope2020.com/login"</f>
        <v>0</v>
      </c>
      <c r="N562" s="478" t="s">
        <v>733</v>
      </c>
      <c r="O562" s="359" t="s">
        <v>734</v>
      </c>
      <c r="P562" s="90">
        <f>"https://itsineurope.com/"</f>
        <v>0</v>
      </c>
      <c r="Q562" s="360" t="s">
        <v>54</v>
      </c>
      <c r="R562" s="254" t="s">
        <v>55</v>
      </c>
      <c r="S562" s="85"/>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row>
    <row r="563" spans="1:64" ht="15.75" customHeight="1">
      <c r="A563" s="102"/>
      <c r="B563" s="90"/>
      <c r="C563" s="90" t="s">
        <v>1757</v>
      </c>
      <c r="D563" s="90"/>
      <c r="E563" s="90"/>
      <c r="F563" s="90"/>
      <c r="G563" s="160"/>
      <c r="H563" s="105"/>
      <c r="I563" s="318"/>
      <c r="J563" s="198"/>
      <c r="K563" s="251"/>
      <c r="L563" s="476">
        <f>"https://itseuropeancongress.com/submissions/"</f>
        <v>0</v>
      </c>
      <c r="M563" s="478" t="s">
        <v>735</v>
      </c>
      <c r="N563" s="478"/>
      <c r="O563" s="359"/>
      <c r="P563" s="90"/>
      <c r="Q563" s="360"/>
      <c r="R563" s="254"/>
      <c r="S563" s="85"/>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row>
    <row r="564" spans="1:64" ht="50.25" customHeight="1">
      <c r="A564" s="102"/>
      <c r="B564" s="90"/>
      <c r="C564" s="90"/>
      <c r="D564" s="90"/>
      <c r="E564" s="90"/>
      <c r="F564" s="90"/>
      <c r="G564" s="104" t="s">
        <v>1756</v>
      </c>
      <c r="H564" s="105"/>
      <c r="I564" s="318"/>
      <c r="J564" s="198"/>
      <c r="K564" s="251"/>
      <c r="L564" s="476">
        <f>"Brochure:  https://itseuropeancongress.com/wp-content/uploads/2019/09/Call-for-Contributions_final.pdf"</f>
        <v>0</v>
      </c>
      <c r="M564" s="478"/>
      <c r="N564" s="478"/>
      <c r="O564" s="359"/>
      <c r="P564" s="90"/>
      <c r="Q564" s="360"/>
      <c r="R564" s="254"/>
      <c r="S564" s="85"/>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row>
    <row r="565" spans="1:64" ht="48" customHeight="1">
      <c r="A565" s="102" t="s">
        <v>608</v>
      </c>
      <c r="B565" s="88" t="s">
        <v>609</v>
      </c>
      <c r="C565" s="89">
        <f>"https://emc-mec.ca/ev2020ve/"</f>
        <v>0</v>
      </c>
      <c r="D565" s="90" t="s">
        <v>610</v>
      </c>
      <c r="E565" s="324" t="s">
        <v>1758</v>
      </c>
      <c r="F565" s="90" t="s">
        <v>612</v>
      </c>
      <c r="G565" s="306" t="s">
        <v>613</v>
      </c>
      <c r="H565" s="365"/>
      <c r="I565" s="301"/>
      <c r="J565" s="107"/>
      <c r="K565" s="108">
        <f>"https://emc-mec.ca/ev2020ve/contact-us/"</f>
        <v>0</v>
      </c>
      <c r="L565" s="159">
        <f>"Call for Abstracts:   https://emc-mec.ca/ev2020ve/call-for-abstracts/"</f>
        <v>0</v>
      </c>
      <c r="M565" s="173">
        <f>"https://na.eventscloud.com/eSites/ev2020/Login"</f>
        <v>0</v>
      </c>
      <c r="N565" s="180">
        <f>"Abstracts due:  2019/12/06 (extended)"</f>
        <v>0</v>
      </c>
      <c r="O565" s="99" t="s">
        <v>600</v>
      </c>
      <c r="P565" s="90">
        <f>"https://emc-mec.ca/event/"</f>
        <v>0</v>
      </c>
      <c r="Q565" s="100" t="s">
        <v>85</v>
      </c>
      <c r="R565" s="101" t="s">
        <v>86</v>
      </c>
      <c r="S565" s="85"/>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row>
    <row r="566" spans="1:64" ht="37.5" customHeight="1">
      <c r="A566" s="102"/>
      <c r="B566" s="88"/>
      <c r="C566" s="89"/>
      <c r="D566" s="90"/>
      <c r="E566" s="324"/>
      <c r="F566" s="324"/>
      <c r="G566" s="306"/>
      <c r="H566" s="365"/>
      <c r="I566" s="301"/>
      <c r="J566" s="107"/>
      <c r="K566" s="108"/>
      <c r="L566" s="159">
        <f>"Ride &amp; Drive:  https://emc-mec.ca/ev2019ve/ride-n-drive/"</f>
        <v>0</v>
      </c>
      <c r="M566" s="173" t="s">
        <v>614</v>
      </c>
      <c r="N566" s="180" t="s">
        <v>615</v>
      </c>
      <c r="O566" s="99"/>
      <c r="P566" s="90"/>
      <c r="Q566" s="100"/>
      <c r="R566" s="101"/>
      <c r="S566" s="85"/>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row>
    <row r="567" spans="1:64" ht="26.25" customHeight="1">
      <c r="A567" s="102"/>
      <c r="B567" s="88"/>
      <c r="C567" s="89"/>
      <c r="D567" s="90"/>
      <c r="E567" s="324"/>
      <c r="F567" s="324"/>
      <c r="G567" s="306"/>
      <c r="H567" s="365"/>
      <c r="I567" s="301"/>
      <c r="J567" s="107"/>
      <c r="K567" s="108"/>
      <c r="L567" s="159">
        <f>"Exhibitor's info:  https://emc-mec.ca/ev2019ve/trade-show/"</f>
        <v>0</v>
      </c>
      <c r="M567" s="173"/>
      <c r="N567" s="180"/>
      <c r="O567" s="99"/>
      <c r="P567" s="90"/>
      <c r="Q567" s="100"/>
      <c r="R567" s="101"/>
      <c r="S567" s="85"/>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row>
    <row r="568" spans="1:64" s="86" customFormat="1" ht="21" customHeight="1">
      <c r="A568" s="102" t="s">
        <v>1759</v>
      </c>
      <c r="B568" s="88" t="s">
        <v>1760</v>
      </c>
      <c r="C568" s="89">
        <f>"https://environmentnewjersey.webaction.org/p/salsa/event/common/public/?event_KEY=985"</f>
        <v>0</v>
      </c>
      <c r="D568" s="90"/>
      <c r="E568" s="324" t="s">
        <v>1761</v>
      </c>
      <c r="F568" s="323" t="s">
        <v>1762</v>
      </c>
      <c r="G568" s="306">
        <f>"Our panel will explain why they purchased electric vehicles for their businesses &amp;hellip;. We&amp;rsquo;ll have plenty of time at the end for questions &amp;hellip;."</f>
        <v>0</v>
      </c>
      <c r="H568" s="132">
        <f>"&lt;b&gt;Scott&amp;nbsp;Fischer&lt;b&gt;, Ciel Power"</f>
        <v>0</v>
      </c>
      <c r="I568" s="301" t="s">
        <v>1763</v>
      </c>
      <c r="J568" s="107">
        <f>"(609) 392-5151"</f>
        <v>0</v>
      </c>
      <c r="K568" s="108">
        <f>"mailto:hberliner@environmentnewjersey.org"</f>
        <v>0</v>
      </c>
      <c r="L568" s="159"/>
      <c r="M568" s="110"/>
      <c r="N568" s="329"/>
      <c r="O568" s="99" t="s">
        <v>1764</v>
      </c>
      <c r="P568" s="90"/>
      <c r="Q568" s="100" t="s">
        <v>67</v>
      </c>
      <c r="R568" s="101" t="s">
        <v>68</v>
      </c>
      <c r="S568" s="85"/>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row>
    <row r="569" spans="1:64" s="86" customFormat="1" ht="27" customHeight="1">
      <c r="A569" s="102"/>
      <c r="B569" s="88"/>
      <c r="C569" s="89"/>
      <c r="D569" s="90"/>
      <c r="E569" s="324"/>
      <c r="F569" s="323"/>
      <c r="G569" s="306"/>
      <c r="H569" s="132">
        <f>"&lt;b&gt;Lyle&amp;nbsp;Rawlings&lt;/b&gt;, Advanced Solar Products"</f>
        <v>0</v>
      </c>
      <c r="I569" s="301"/>
      <c r="J569" s="107"/>
      <c r="K569" s="108"/>
      <c r="L569" s="159"/>
      <c r="M569" s="110"/>
      <c r="N569" s="329"/>
      <c r="O569" s="99"/>
      <c r="P569" s="90"/>
      <c r="Q569" s="100"/>
      <c r="R569" s="101"/>
      <c r="S569" s="85"/>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row>
    <row r="570" spans="1:64" s="86" customFormat="1" ht="25.5" customHeight="1">
      <c r="A570" s="102"/>
      <c r="B570" s="88"/>
      <c r="C570" s="89"/>
      <c r="D570" s="90"/>
      <c r="E570" s="324"/>
      <c r="F570" s="323"/>
      <c r="G570" s="306"/>
      <c r="H570" s="132">
        <f>"&lt;b&gt;Brecc Avellar&lt;/b&gt;, Core Development Group"</f>
        <v>0</v>
      </c>
      <c r="I570" s="301"/>
      <c r="J570" s="107"/>
      <c r="K570" s="108"/>
      <c r="L570" s="159"/>
      <c r="M570" s="110"/>
      <c r="N570" s="329"/>
      <c r="O570" s="99"/>
      <c r="P570" s="90"/>
      <c r="Q570" s="100"/>
      <c r="R570" s="101"/>
      <c r="S570" s="85"/>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row>
    <row r="571" spans="1:19" s="86" customFormat="1" ht="30" customHeight="1">
      <c r="A571" s="102" t="s">
        <v>1765</v>
      </c>
      <c r="B571" s="88" t="s">
        <v>1766</v>
      </c>
      <c r="C571" s="89">
        <f>"http://www.trb.org/Main/Blurbs/181313.aspx"</f>
        <v>0</v>
      </c>
      <c r="D571" s="130"/>
      <c r="E571" s="91" t="s">
        <v>1767</v>
      </c>
      <c r="F571" s="130" t="s">
        <v>1768</v>
      </c>
      <c r="G571" s="104">
        <f>"&amp;hellip; discuss innovative research approaches for advancing AV technology and shared mobility practices &amp;hellip;"</f>
        <v>0</v>
      </c>
      <c r="H571" s="132">
        <f>"&lt;b&gt;Katherine&amp;nbsp;Kortum&lt;/b&gt;, TRB"</f>
        <v>0</v>
      </c>
      <c r="I571" s="301"/>
      <c r="J571" s="198"/>
      <c r="K571" s="302">
        <f>"mailto:rgillum@nas.edu?subject=Question%20about%20November%209%20webinar"</f>
        <v>0</v>
      </c>
      <c r="L571" s="109" t="s">
        <v>1769</v>
      </c>
      <c r="M571" s="110">
        <f>"registration: https://www.mytrb.org/?WebinarTarget=https://webinar.mytrb.org/Webinars/Register/1441"</f>
        <v>0</v>
      </c>
      <c r="N571" s="517">
        <f>"Related Reports:   (1) Business Models for Mobile Fare Apps; (2)  Microtransit or General Public Demand&amp;ndash;Response Transit Services: State of the Practice;  (3) Transformational Technologies in Transportation"</f>
        <v>0</v>
      </c>
      <c r="O571" s="99" t="s">
        <v>125</v>
      </c>
      <c r="P571" s="130" t="s">
        <v>319</v>
      </c>
      <c r="Q571" s="100" t="s">
        <v>54</v>
      </c>
      <c r="R571" s="128" t="s">
        <v>55</v>
      </c>
      <c r="S571" s="141"/>
    </row>
    <row r="572" spans="1:19" s="86" customFormat="1" ht="30" customHeight="1">
      <c r="A572" s="102"/>
      <c r="B572" s="88"/>
      <c r="C572" s="89"/>
      <c r="D572" s="130"/>
      <c r="E572" s="91"/>
      <c r="F572" s="130"/>
      <c r="G572" s="104"/>
      <c r="H572" s="132">
        <f>"&lt;b&gt;Rich&amp;nbsp;Davey&lt;/b&gt;,  Boston Consulting Group&amp;nbsp;(BCG)"</f>
        <v>0</v>
      </c>
      <c r="I572" s="301"/>
      <c r="J572" s="198"/>
      <c r="K572" s="302"/>
      <c r="L572" s="109"/>
      <c r="M572" s="110"/>
      <c r="N572" s="517"/>
      <c r="O572" s="99"/>
      <c r="P572" s="130"/>
      <c r="Q572" s="100"/>
      <c r="R572" s="128"/>
      <c r="S572" s="141"/>
    </row>
    <row r="573" spans="1:19" s="86" customFormat="1" ht="30" customHeight="1">
      <c r="A573" s="102"/>
      <c r="B573" s="88"/>
      <c r="C573" s="89"/>
      <c r="D573" s="130"/>
      <c r="E573" s="91"/>
      <c r="F573" s="130"/>
      <c r="G573" s="104"/>
      <c r="H573" s="132">
        <f>"&lt;b&gt;Alex&amp;nbsp;Lybarger&lt;/b&gt;, Transportation Research Center, Inc."</f>
        <v>0</v>
      </c>
      <c r="I573" s="301"/>
      <c r="J573" s="198"/>
      <c r="K573" s="302"/>
      <c r="L573" s="109"/>
      <c r="M573" s="110"/>
      <c r="N573" s="517"/>
      <c r="O573" s="99"/>
      <c r="P573" s="130"/>
      <c r="Q573" s="100"/>
      <c r="R573" s="128"/>
      <c r="S573" s="141"/>
    </row>
    <row r="574" spans="1:19" s="86" customFormat="1" ht="27" customHeight="1">
      <c r="A574" s="102"/>
      <c r="B574" s="88"/>
      <c r="C574" s="89"/>
      <c r="D574" s="130"/>
      <c r="E574" s="91"/>
      <c r="F574" s="130" t="s">
        <v>1770</v>
      </c>
      <c r="G574" s="104"/>
      <c r="H574" s="132">
        <f>"&lt;b&gt;Shashi&amp;nbsp;Nambisan&lt;/b&gt;, UNLV"</f>
        <v>0</v>
      </c>
      <c r="I574" s="301"/>
      <c r="J574" s="198"/>
      <c r="K574" s="302"/>
      <c r="L574" s="109"/>
      <c r="M574" s="110"/>
      <c r="N574" s="517"/>
      <c r="O574" s="99"/>
      <c r="P574" s="130"/>
      <c r="Q574" s="100"/>
      <c r="R574" s="128"/>
      <c r="S574" s="141"/>
    </row>
    <row r="575" spans="1:19" s="86" customFormat="1" ht="37.5" customHeight="1">
      <c r="A575" s="102"/>
      <c r="B575" s="88"/>
      <c r="C575" s="89"/>
      <c r="D575" s="130"/>
      <c r="E575" s="91"/>
      <c r="F575" s="130"/>
      <c r="G575" s="104"/>
      <c r="H575" s="132">
        <f>"Question and answer session: Moderated by &lt;b&gt;Cynthia&amp;nbsp;Jones&lt;/b&gt;, DriveOhio"</f>
        <v>0</v>
      </c>
      <c r="I575" s="301"/>
      <c r="J575" s="198"/>
      <c r="K575" s="302"/>
      <c r="L575" s="109"/>
      <c r="M575" s="110"/>
      <c r="N575" s="517"/>
      <c r="O575" s="99"/>
      <c r="P575" s="130"/>
      <c r="Q575" s="100"/>
      <c r="R575" s="128"/>
      <c r="S575" s="141"/>
    </row>
    <row r="576" spans="1:64" s="86" customFormat="1" ht="58.5" customHeight="1">
      <c r="A576" s="87" t="s">
        <v>1771</v>
      </c>
      <c r="B576" s="88" t="s">
        <v>1772</v>
      </c>
      <c r="C576" s="89">
        <f>"https://www.sae.org/learn/content/c0828/"</f>
        <v>0</v>
      </c>
      <c r="D576" s="183" t="s">
        <v>1372</v>
      </c>
      <c r="E576" s="91" t="s">
        <v>1773</v>
      </c>
      <c r="F576" s="183" t="s">
        <v>1774</v>
      </c>
      <c r="G576" s="306" t="s">
        <v>1775</v>
      </c>
      <c r="H576" s="132">
        <f>"Instructor: James Masiak"</f>
        <v>0</v>
      </c>
      <c r="I576" s="135" t="s">
        <v>1776</v>
      </c>
      <c r="J576" s="202"/>
      <c r="K576" s="108"/>
      <c r="L576" s="199" t="s">
        <v>1777</v>
      </c>
      <c r="M576" s="176" t="s">
        <v>433</v>
      </c>
      <c r="N576" s="181"/>
      <c r="O576" s="99" t="s">
        <v>396</v>
      </c>
      <c r="P576" s="183" t="s">
        <v>397</v>
      </c>
      <c r="Q576" s="100" t="s">
        <v>54</v>
      </c>
      <c r="R576" s="128" t="s">
        <v>55</v>
      </c>
      <c r="S576" s="85"/>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row>
    <row r="577" spans="1:64" s="86" customFormat="1" ht="73.5" customHeight="1">
      <c r="A577" s="112" t="s">
        <v>1341</v>
      </c>
      <c r="B577" s="113" t="s">
        <v>1778</v>
      </c>
      <c r="C577" s="143">
        <f>"https://www.sae.org/learn/content/c1630/"</f>
        <v>0</v>
      </c>
      <c r="D577" s="148" t="s">
        <v>936</v>
      </c>
      <c r="E577" s="116" t="s">
        <v>1779</v>
      </c>
      <c r="F577" s="148" t="s">
        <v>1344</v>
      </c>
      <c r="G577" s="240" t="s">
        <v>1345</v>
      </c>
      <c r="H577" s="217">
        <f>"Instructor: Yuxiang Jiang, Ph.D."</f>
        <v>0</v>
      </c>
      <c r="I577" s="215" t="s">
        <v>1545</v>
      </c>
      <c r="J577" s="275"/>
      <c r="K577" s="121"/>
      <c r="L577" s="261" t="s">
        <v>1455</v>
      </c>
      <c r="M577" s="237" t="s">
        <v>395</v>
      </c>
      <c r="N577" s="238"/>
      <c r="O577" s="125" t="s">
        <v>396</v>
      </c>
      <c r="P577" s="148" t="s">
        <v>397</v>
      </c>
      <c r="Q577" s="126" t="s">
        <v>54</v>
      </c>
      <c r="R577" s="213" t="s">
        <v>55</v>
      </c>
      <c r="S577" s="85"/>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row>
    <row r="578" spans="1:64" ht="55.5" customHeight="1">
      <c r="A578" s="470" t="s">
        <v>1780</v>
      </c>
      <c r="B578" s="312" t="s">
        <v>1781</v>
      </c>
      <c r="C578" s="114">
        <f>"https://www.sae.org/attend/small-powertrains-energy-systems-technology-conference/"</f>
        <v>0</v>
      </c>
      <c r="D578" s="148" t="s">
        <v>1782</v>
      </c>
      <c r="E578" s="116" t="s">
        <v>1783</v>
      </c>
      <c r="F578" s="148" t="s">
        <v>1784</v>
      </c>
      <c r="G578" s="518" t="s">
        <v>1785</v>
      </c>
      <c r="H578" s="351" t="s">
        <v>757</v>
      </c>
      <c r="I578" s="231"/>
      <c r="J578" s="232"/>
      <c r="K578" s="233">
        <f>"https://www.sae.org/attend/small-powertrains-energy-systems-technology-conference/contact"</f>
        <v>0</v>
      </c>
      <c r="L578" s="154">
        <f>"https://www.sae.org/binaries/content/assets/cm/content/attend/2020/small-engine-technology-conference/setc_call_for_papers.pdf"</f>
        <v>0</v>
      </c>
      <c r="M578" s="234"/>
      <c r="N578" s="277" t="s">
        <v>1786</v>
      </c>
      <c r="O578" s="125" t="s">
        <v>83</v>
      </c>
      <c r="P578" s="148" t="s">
        <v>84</v>
      </c>
      <c r="Q578" s="126" t="s">
        <v>54</v>
      </c>
      <c r="R578" s="213" t="s">
        <v>55</v>
      </c>
      <c r="S578" s="519"/>
      <c r="T578" s="520"/>
      <c r="U578" s="520"/>
      <c r="V578" s="520"/>
      <c r="W578" s="520"/>
      <c r="X578" s="520"/>
      <c r="Y578" s="520"/>
      <c r="Z578" s="520"/>
      <c r="AA578" s="520"/>
      <c r="AB578" s="520"/>
      <c r="AC578" s="520"/>
      <c r="AD578" s="520"/>
      <c r="AE578" s="520"/>
      <c r="AF578" s="520"/>
      <c r="AG578" s="520"/>
      <c r="AH578" s="520"/>
      <c r="AI578" s="520"/>
      <c r="AJ578" s="520"/>
      <c r="AK578" s="520"/>
      <c r="AL578" s="520"/>
      <c r="AM578" s="520"/>
      <c r="AN578" s="520"/>
      <c r="AO578" s="520"/>
      <c r="AP578" s="520"/>
      <c r="AQ578" s="520"/>
      <c r="AR578" s="520"/>
      <c r="AS578" s="520"/>
      <c r="AT578" s="520"/>
      <c r="AU578" s="520"/>
      <c r="AV578" s="520"/>
      <c r="AW578" s="520"/>
      <c r="AX578" s="520"/>
      <c r="AY578" s="520"/>
      <c r="AZ578" s="520"/>
      <c r="BA578" s="520"/>
      <c r="BB578" s="520"/>
      <c r="BC578" s="520"/>
      <c r="BD578" s="520"/>
      <c r="BE578" s="520"/>
      <c r="BF578" s="520"/>
      <c r="BG578" s="520"/>
      <c r="BH578" s="520"/>
      <c r="BI578" s="520"/>
      <c r="BJ578" s="520"/>
      <c r="BK578" s="520"/>
      <c r="BL578" s="520"/>
    </row>
    <row r="579" spans="1:64" s="86" customFormat="1" ht="67.5" customHeight="1">
      <c r="A579" s="492" t="s">
        <v>1787</v>
      </c>
      <c r="B579" s="166" t="s">
        <v>1788</v>
      </c>
      <c r="C579" s="103">
        <f>"https://event.webcasts.com/starthere.jsp?ei=1382599&amp;tp_key=fe8bc2db2f"</f>
        <v>0</v>
      </c>
      <c r="D579" s="183"/>
      <c r="E579" s="91" t="s">
        <v>1789</v>
      </c>
      <c r="F579" s="183" t="s">
        <v>1790</v>
      </c>
      <c r="G579" s="178">
        <f>"&amp;hellip; special one-hour presentation as we honor our 2020 Grand Prize Winnern [as well as] the Most Popular entry from this year&amp;rsquo;s contest."</f>
        <v>0</v>
      </c>
      <c r="H579" s="168"/>
      <c r="I579" s="169"/>
      <c r="J579" s="170"/>
      <c r="K579" s="179"/>
      <c r="L579" s="145"/>
      <c r="M579" s="173"/>
      <c r="N579" s="400"/>
      <c r="O579" s="99" t="s">
        <v>1791</v>
      </c>
      <c r="P579" s="183">
        <f>"https://www.techbriefs.com/"</f>
        <v>0</v>
      </c>
      <c r="Q579" s="100" t="s">
        <v>137</v>
      </c>
      <c r="R579" s="101" t="s">
        <v>68</v>
      </c>
      <c r="S579" s="519"/>
      <c r="T579" s="520"/>
      <c r="U579" s="520"/>
      <c r="V579" s="520"/>
      <c r="W579" s="520"/>
      <c r="X579" s="520"/>
      <c r="Y579" s="520"/>
      <c r="Z579" s="520"/>
      <c r="AA579" s="520"/>
      <c r="AB579" s="520"/>
      <c r="AC579" s="520"/>
      <c r="AD579" s="520"/>
      <c r="AE579" s="520"/>
      <c r="AF579" s="520"/>
      <c r="AG579" s="520"/>
      <c r="AH579" s="520"/>
      <c r="AI579" s="520"/>
      <c r="AJ579" s="520"/>
      <c r="AK579" s="520"/>
      <c r="AL579" s="520"/>
      <c r="AM579" s="520"/>
      <c r="AN579" s="520"/>
      <c r="AO579" s="520"/>
      <c r="AP579" s="520"/>
      <c r="AQ579" s="520"/>
      <c r="AR579" s="520"/>
      <c r="AS579" s="520"/>
      <c r="AT579" s="520"/>
      <c r="AU579" s="520"/>
      <c r="AV579" s="520"/>
      <c r="AW579" s="520"/>
      <c r="AX579" s="520"/>
      <c r="AY579" s="520"/>
      <c r="AZ579" s="520"/>
      <c r="BA579" s="520"/>
      <c r="BB579" s="520"/>
      <c r="BC579" s="520"/>
      <c r="BD579" s="520"/>
      <c r="BE579" s="520"/>
      <c r="BF579" s="520"/>
      <c r="BG579" s="520"/>
      <c r="BH579" s="520"/>
      <c r="BI579" s="520"/>
      <c r="BJ579" s="520"/>
      <c r="BK579" s="520"/>
      <c r="BL579" s="520"/>
    </row>
    <row r="580" spans="1:64" s="86" customFormat="1" ht="53.25" customHeight="1">
      <c r="A580" s="102" t="s">
        <v>216</v>
      </c>
      <c r="B580" s="88" t="s">
        <v>217</v>
      </c>
      <c r="C580" s="89">
        <f>"https://startupprize.eu/"</f>
        <v>0</v>
      </c>
      <c r="D580" s="130" t="s">
        <v>1792</v>
      </c>
      <c r="E580" s="209">
        <f>"Contest open:  2020/02/20 – 04/30"</f>
        <v>0</v>
      </c>
      <c r="F580" s="130" t="s">
        <v>219</v>
      </c>
      <c r="G580" s="160" t="s">
        <v>220</v>
      </c>
      <c r="H580" s="521" t="s">
        <v>1793</v>
      </c>
      <c r="I580" s="162"/>
      <c r="J580" s="163"/>
      <c r="K580" s="522">
        <f>"Newsletter subscription:  https://startupsprize.us16.list-manage.com/subscribe?u=e7a67bf0c991ed24e3e4e7fd6&amp;id=6b6ad4d736"</f>
        <v>0</v>
      </c>
      <c r="L580" s="159">
        <f>"Prize Rules:  https://startupprize.eu/prize-rules-2020/"</f>
        <v>0</v>
      </c>
      <c r="M580" s="110">
        <f>"https://www.agorize.com/en/users/sign_up?participate_modal=true&amp;redirect_to=%2Fen%2Fchallenges%2Feu-startupprize%2Fteams%3Fparticipate_when_signed_in%3Dfalse"</f>
        <v>0</v>
      </c>
      <c r="N580" s="146" t="s">
        <v>1794</v>
      </c>
      <c r="O580" s="99" t="s">
        <v>222</v>
      </c>
      <c r="P580" s="130">
        <f>"https://ertico.com/"</f>
        <v>0</v>
      </c>
      <c r="Q580" s="100" t="s">
        <v>54</v>
      </c>
      <c r="R580" s="128" t="s">
        <v>55</v>
      </c>
      <c r="S580" s="85"/>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row>
    <row r="581" spans="1:64" s="86" customFormat="1" ht="53.25" customHeight="1">
      <c r="A581" s="102"/>
      <c r="B581" s="88"/>
      <c r="C581" s="89">
        <f>"Alt. Link:  https://www.agorize.com/en/challenges/eu-startupprize"</f>
        <v>0</v>
      </c>
      <c r="D581" s="130"/>
      <c r="E581" s="209"/>
      <c r="F581" s="130"/>
      <c r="G581" s="160"/>
      <c r="H581" s="521">
        <f>"https://vivatechnology.com/"</f>
        <v>0</v>
      </c>
      <c r="I581" s="162"/>
      <c r="J581" s="163"/>
      <c r="K581" s="522"/>
      <c r="L581" s="159"/>
      <c r="M581" s="110"/>
      <c r="N581" s="146"/>
      <c r="O581" s="99"/>
      <c r="P581" s="130"/>
      <c r="Q581" s="100"/>
      <c r="R581" s="128"/>
      <c r="S581" s="85"/>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row>
    <row r="582" spans="1:64" s="86" customFormat="1" ht="53.25" customHeight="1">
      <c r="A582" s="102"/>
      <c r="B582" s="88"/>
      <c r="C582" s="89">
        <f>"Awards ceremony at Electromous:  https://www.electronomous.com/"</f>
        <v>0</v>
      </c>
      <c r="D582" s="130"/>
      <c r="E582" s="188" t="s">
        <v>1795</v>
      </c>
      <c r="F582" s="183" t="s">
        <v>1796</v>
      </c>
      <c r="G582" s="104">
        <f>"An Interactive, Fully-Remote Event Experience for Global Thought Leaders in International Mobility and Smart Cities"</f>
        <v>0</v>
      </c>
      <c r="H582" s="521"/>
      <c r="I582" s="162"/>
      <c r="J582" s="163"/>
      <c r="K582" s="522"/>
      <c r="L582" s="159">
        <f>"Free Pass:  https://form.typeform.com/to/HIqOR7is"</f>
        <v>0</v>
      </c>
      <c r="M582" s="110"/>
      <c r="N582" s="146"/>
      <c r="O582" s="99"/>
      <c r="P582" s="130"/>
      <c r="Q582" s="100"/>
      <c r="R582" s="128"/>
      <c r="S582" s="85"/>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row>
    <row r="583" spans="1:64" s="86" customFormat="1" ht="61.5" customHeight="1">
      <c r="A583" s="87">
        <f>"Free Webinar:&amp;nbsp; Municipal EV Readiness Program Module 9: Workplace Charging"</f>
        <v>0</v>
      </c>
      <c r="B583" s="88" t="s">
        <v>1797</v>
      </c>
      <c r="C583" s="89">
        <f>"http://events.r20.constantcontact.com/register/event?oeidk=a07eh9wh2k1a07d951a&amp;llr=s6mlhwcab"</f>
        <v>0</v>
      </c>
      <c r="D583" s="183"/>
      <c r="E583" s="515" t="s">
        <v>1798</v>
      </c>
      <c r="F583" s="183" t="s">
        <v>1746</v>
      </c>
      <c r="G583" s="104">
        <f>"&amp;hellip; how to implement workplace charging &amp;hellip;"</f>
        <v>0</v>
      </c>
      <c r="H583" s="132"/>
      <c r="I583" s="135">
        <f>"Daphne Dixon"</f>
        <v>0</v>
      </c>
      <c r="J583" s="133">
        <f>"203-536-4695"</f>
        <v>0</v>
      </c>
      <c r="K583" s="108">
        <f>"mailto:daphne@livegreenct.org"</f>
        <v>0</v>
      </c>
      <c r="L583" s="109">
        <f>"registration:  https://events.r20.constantcontact.com/register/eventReg?oeidk=a07eh9wh2k1a07d951a"</f>
        <v>0</v>
      </c>
      <c r="M583" s="110"/>
      <c r="N583" s="336"/>
      <c r="O583" s="359" t="s">
        <v>1747</v>
      </c>
      <c r="P583" s="183">
        <f>"http://www.livegreenct.org/"</f>
        <v>0</v>
      </c>
      <c r="Q583" s="100" t="s">
        <v>54</v>
      </c>
      <c r="R583" s="128" t="s">
        <v>55</v>
      </c>
      <c r="S583" s="85"/>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row>
    <row r="584" spans="1:64" s="86" customFormat="1" ht="104.25" customHeight="1">
      <c r="A584" s="87" t="s">
        <v>1799</v>
      </c>
      <c r="B584" s="88" t="s">
        <v>1800</v>
      </c>
      <c r="C584" s="89">
        <f>"https://event.on24.com/eventRegistration/EventLobbyServlet?target=reg20.jsp&amp;referrer=https%3A%2F%2Femail10.godaddy.com%2Fwebmail.php&amp;eventid=2711776&amp;sessionid=1&amp;key=9BF46A7B534D43F2DF03600E367554E2&amp;regTag=1637628&amp;sourcepage=register"</f>
        <v>0</v>
      </c>
      <c r="D584" s="89"/>
      <c r="E584" s="515" t="s">
        <v>1801</v>
      </c>
      <c r="F584" s="183" t="s">
        <v>1802</v>
      </c>
      <c r="G584" s="104">
        <f>"For battery electric vehicles (BEVs), the three key customer concerns are cost per unit energy &amp;hellip;, energy density &amp;hellip;, and the accessibility of high-rate charging stations &amp;hellip;"</f>
        <v>0</v>
      </c>
      <c r="H584" s="132"/>
      <c r="I584" s="135"/>
      <c r="J584" s="133"/>
      <c r="K584" s="108"/>
      <c r="L584" s="109"/>
      <c r="M584" s="110"/>
      <c r="N584" s="336"/>
      <c r="O584" s="359"/>
      <c r="P584" s="183"/>
      <c r="Q584" s="100" t="s">
        <v>54</v>
      </c>
      <c r="R584" s="128" t="s">
        <v>55</v>
      </c>
      <c r="S584" s="85"/>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row>
    <row r="585" spans="1:64" s="86" customFormat="1" ht="56.25" customHeight="1">
      <c r="A585" s="87" t="s">
        <v>1803</v>
      </c>
      <c r="B585" s="88" t="s">
        <v>1804</v>
      </c>
      <c r="C585" s="89">
        <f>"https://www.naylornetwork.com/ie00-blank/email01.asp?projID=122299"</f>
        <v>0</v>
      </c>
      <c r="D585" s="130"/>
      <c r="E585" s="515" t="s">
        <v>1801</v>
      </c>
      <c r="F585" s="130" t="s">
        <v>1805</v>
      </c>
      <c r="G585" s="104">
        <f>"Hyperloop capsules are expected to be self-propelled &amp;hellip; we describe how to model a DSLIM using the COMSOL Multiphysics&amp;reg; software to provide an accurate estimation of the exerted thrust by the motor."</f>
        <v>0</v>
      </c>
      <c r="H585" s="132">
        <f>"&lt;b&gt;Andre Hodder&lt;/b&gt;, lecturer and a scientific collaborator,  Ecole Polytechnique F&amp;eacute;d&amp;eacute;rale de Lausanne (EPFL) Switzerland"</f>
        <v>0</v>
      </c>
      <c r="I585" s="301"/>
      <c r="J585" s="198"/>
      <c r="K585" s="108"/>
      <c r="L585" s="109">
        <f>"Registration:  https://event.on24.com/wcc/r/2796853/23A055DB6E7A64F796AD139D89C66563"</f>
        <v>0</v>
      </c>
      <c r="M585" s="110"/>
      <c r="N585" s="336"/>
      <c r="O585" s="359"/>
      <c r="P585" s="130"/>
      <c r="Q585" s="100" t="s">
        <v>54</v>
      </c>
      <c r="R585" s="128" t="s">
        <v>55</v>
      </c>
      <c r="S585" s="85"/>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row>
    <row r="586" spans="1:64" s="86" customFormat="1" ht="30.75" customHeight="1">
      <c r="A586" s="87"/>
      <c r="B586" s="88"/>
      <c r="C586" s="89"/>
      <c r="D586" s="130"/>
      <c r="E586" s="515"/>
      <c r="F586" s="130"/>
      <c r="G586" s="104"/>
      <c r="H586" s="132">
        <f>"&lt;b&gt;Mario&amp;nbsp;Paolone&lt;/b&gt;, Chair of Distr. Elec. Syst. Lab., EPFL"</f>
        <v>0</v>
      </c>
      <c r="I586" s="301"/>
      <c r="J586" s="198"/>
      <c r="K586" s="108"/>
      <c r="L586" s="109"/>
      <c r="M586" s="110"/>
      <c r="N586" s="336"/>
      <c r="O586" s="359"/>
      <c r="P586" s="130"/>
      <c r="Q586" s="100"/>
      <c r="R586" s="100"/>
      <c r="S586" s="85"/>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row>
    <row r="587" spans="1:64" s="86" customFormat="1" ht="26.25" customHeight="1">
      <c r="A587" s="87"/>
      <c r="B587" s="88"/>
      <c r="C587" s="89"/>
      <c r="D587" s="130"/>
      <c r="E587" s="515"/>
      <c r="F587" s="130"/>
      <c r="G587" s="104"/>
      <c r="H587" s="132">
        <f>"&lt;b&gt;Yeswanth&amp;nbsp;Rao&lt;/b&gt;, Sr. Applic. Eng., COMSOL"</f>
        <v>0</v>
      </c>
      <c r="I587" s="301"/>
      <c r="J587" s="198"/>
      <c r="K587" s="108"/>
      <c r="L587" s="109"/>
      <c r="M587" s="110"/>
      <c r="N587" s="336"/>
      <c r="O587" s="359"/>
      <c r="P587" s="130"/>
      <c r="Q587" s="100"/>
      <c r="R587" s="100"/>
      <c r="S587" s="85"/>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row>
    <row r="588" spans="1:64" s="86" customFormat="1" ht="86.25" customHeight="1">
      <c r="A588" s="492">
        <f>"Free Webinar:&amp;nbsp; Bi-Directional electric vehicle and automotive applications"</f>
        <v>0</v>
      </c>
      <c r="B588" s="166" t="s">
        <v>1806</v>
      </c>
      <c r="C588" s="89">
        <f>"https://event.on24.com/eventRegistration/EventLobbyServlet?target=reg20.jsp&amp;partnerref=INTBatteryShowWebsite&amp;eventid=2758080&amp;sessionid=1&amp;key=EB4D3714058ABC4EDA7249FA76C94746&amp;regTag=&amp;sourcepage=register"</f>
        <v>0</v>
      </c>
      <c r="D588" s="89"/>
      <c r="E588" s="91" t="s">
        <v>1807</v>
      </c>
      <c r="F588" s="183" t="s">
        <v>1808</v>
      </c>
      <c r="G588" s="178">
        <f>"Today&amp;rsquo;s vehicles consume more power &amp;hellip;, making it more economically feasible to store the required energy in 48V batteries and convert it to 12 Vdc &amp;hellip;."</f>
        <v>0</v>
      </c>
      <c r="H588" s="105">
        <f>"&lt;b&gt;Michael&amp;nbsp;McNally&lt;/b&gt;, Dire. Prod. Marketing, Calex Manufacturing"</f>
        <v>0</v>
      </c>
      <c r="I588" s="169"/>
      <c r="J588" s="170"/>
      <c r="K588" s="179"/>
      <c r="L588" s="145"/>
      <c r="M588" s="173"/>
      <c r="N588" s="400"/>
      <c r="O588" s="99" t="s">
        <v>1260</v>
      </c>
      <c r="P588" s="183" t="s">
        <v>1809</v>
      </c>
      <c r="Q588" s="100" t="s">
        <v>54</v>
      </c>
      <c r="R588" s="128" t="s">
        <v>55</v>
      </c>
      <c r="S588" s="519"/>
      <c r="T588" s="520"/>
      <c r="U588" s="520"/>
      <c r="V588" s="520"/>
      <c r="W588" s="520"/>
      <c r="X588" s="520"/>
      <c r="Y588" s="520"/>
      <c r="Z588" s="520"/>
      <c r="AA588" s="520"/>
      <c r="AB588" s="520"/>
      <c r="AC588" s="520"/>
      <c r="AD588" s="520"/>
      <c r="AE588" s="520"/>
      <c r="AF588" s="520"/>
      <c r="AG588" s="520"/>
      <c r="AH588" s="520"/>
      <c r="AI588" s="520"/>
      <c r="AJ588" s="520"/>
      <c r="AK588" s="520"/>
      <c r="AL588" s="520"/>
      <c r="AM588" s="520"/>
      <c r="AN588" s="520"/>
      <c r="AO588" s="520"/>
      <c r="AP588" s="520"/>
      <c r="AQ588" s="520"/>
      <c r="AR588" s="520"/>
      <c r="AS588" s="520"/>
      <c r="AT588" s="520"/>
      <c r="AU588" s="520"/>
      <c r="AV588" s="520"/>
      <c r="AW588" s="520"/>
      <c r="AX588" s="520"/>
      <c r="AY588" s="520"/>
      <c r="AZ588" s="520"/>
      <c r="BA588" s="520"/>
      <c r="BB588" s="520"/>
      <c r="BC588" s="520"/>
      <c r="BD588" s="520"/>
      <c r="BE588" s="520"/>
      <c r="BF588" s="520"/>
      <c r="BG588" s="520"/>
      <c r="BH588" s="520"/>
      <c r="BI588" s="520"/>
      <c r="BJ588" s="520"/>
      <c r="BK588" s="520"/>
      <c r="BL588" s="520"/>
    </row>
    <row r="589" spans="1:64" s="86" customFormat="1" ht="32.25" customHeight="1">
      <c r="A589" s="102" t="s">
        <v>1810</v>
      </c>
      <c r="B589" s="88" t="s">
        <v>1811</v>
      </c>
      <c r="C589" s="89">
        <f>"http://www.trb.org/main/blurbs/181275.aspx"</f>
        <v>0</v>
      </c>
      <c r="D589" s="130"/>
      <c r="E589" s="91" t="s">
        <v>1812</v>
      </c>
      <c r="F589" s="130" t="s">
        <v>1813</v>
      </c>
      <c r="G589" s="160">
        <f>"What is the future of transportation research and what is TRB&amp;rsquo;s role in that future?"</f>
        <v>0</v>
      </c>
      <c r="H589" s="523" t="s">
        <v>1814</v>
      </c>
      <c r="I589" s="106"/>
      <c r="J589" s="107"/>
      <c r="K589" s="134" t="s">
        <v>1815</v>
      </c>
      <c r="L589" s="96">
        <f>"Mandatory Pre-registration:  https://nasem.zoom.us/webinar/register/WN__FFwErMhR_ihdSNtI-RCfQ"</f>
        <v>0</v>
      </c>
      <c r="M589" s="110"/>
      <c r="N589" s="98"/>
      <c r="O589" s="99" t="s">
        <v>125</v>
      </c>
      <c r="P589" s="130">
        <f>"http://www.trb.org/Calendar/Calendar.aspx"</f>
        <v>0</v>
      </c>
      <c r="Q589" s="100" t="s">
        <v>54</v>
      </c>
      <c r="R589" s="100" t="s">
        <v>55</v>
      </c>
      <c r="S589" s="519"/>
      <c r="T589" s="520"/>
      <c r="U589" s="520"/>
      <c r="V589" s="520"/>
      <c r="W589" s="520"/>
      <c r="X589" s="520"/>
      <c r="Y589" s="520"/>
      <c r="Z589" s="520"/>
      <c r="AA589" s="520"/>
      <c r="AB589" s="520"/>
      <c r="AC589" s="520"/>
      <c r="AD589" s="520"/>
      <c r="AE589" s="520"/>
      <c r="AF589" s="520"/>
      <c r="AG589" s="520"/>
      <c r="AH589" s="520"/>
      <c r="AI589" s="520"/>
      <c r="AJ589" s="520"/>
      <c r="AK589" s="520"/>
      <c r="AL589" s="520"/>
      <c r="AM589" s="520"/>
      <c r="AN589" s="520"/>
      <c r="AO589" s="520"/>
      <c r="AP589" s="520"/>
      <c r="AQ589" s="520"/>
      <c r="AR589" s="520"/>
      <c r="AS589" s="520"/>
      <c r="AT589" s="520"/>
      <c r="AU589" s="520"/>
      <c r="AV589" s="520"/>
      <c r="AW589" s="520"/>
      <c r="AX589" s="520"/>
      <c r="AY589" s="520"/>
      <c r="AZ589" s="520"/>
      <c r="BA589" s="520"/>
      <c r="BB589" s="520"/>
      <c r="BC589" s="520"/>
      <c r="BD589" s="520"/>
      <c r="BE589" s="520"/>
      <c r="BF589" s="520"/>
      <c r="BG589" s="520"/>
      <c r="BH589" s="520"/>
      <c r="BI589" s="520"/>
      <c r="BJ589" s="520"/>
      <c r="BK589" s="520"/>
      <c r="BL589" s="520"/>
    </row>
    <row r="590" spans="1:64" s="86" customFormat="1" ht="30.75" customHeight="1">
      <c r="A590" s="102"/>
      <c r="B590" s="88"/>
      <c r="C590" s="89"/>
      <c r="D590" s="130"/>
      <c r="E590" s="91"/>
      <c r="F590" s="130"/>
      <c r="G590" s="160"/>
      <c r="H590" s="88" t="s">
        <v>1816</v>
      </c>
      <c r="I590" s="106"/>
      <c r="J590" s="107"/>
      <c r="K590" s="134"/>
      <c r="L590" s="96"/>
      <c r="M590" s="110"/>
      <c r="N590" s="98"/>
      <c r="O590" s="99"/>
      <c r="P590" s="130"/>
      <c r="Q590" s="100"/>
      <c r="R590" s="100"/>
      <c r="S590" s="519"/>
      <c r="T590" s="520"/>
      <c r="U590" s="520"/>
      <c r="V590" s="520"/>
      <c r="W590" s="520"/>
      <c r="X590" s="520"/>
      <c r="Y590" s="520"/>
      <c r="Z590" s="520"/>
      <c r="AA590" s="520"/>
      <c r="AB590" s="520"/>
      <c r="AC590" s="520"/>
      <c r="AD590" s="520"/>
      <c r="AE590" s="520"/>
      <c r="AF590" s="520"/>
      <c r="AG590" s="520"/>
      <c r="AH590" s="520"/>
      <c r="AI590" s="520"/>
      <c r="AJ590" s="520"/>
      <c r="AK590" s="520"/>
      <c r="AL590" s="520"/>
      <c r="AM590" s="520"/>
      <c r="AN590" s="520"/>
      <c r="AO590" s="520"/>
      <c r="AP590" s="520"/>
      <c r="AQ590" s="520"/>
      <c r="AR590" s="520"/>
      <c r="AS590" s="520"/>
      <c r="AT590" s="520"/>
      <c r="AU590" s="520"/>
      <c r="AV590" s="520"/>
      <c r="AW590" s="520"/>
      <c r="AX590" s="520"/>
      <c r="AY590" s="520"/>
      <c r="AZ590" s="520"/>
      <c r="BA590" s="520"/>
      <c r="BB590" s="520"/>
      <c r="BC590" s="520"/>
      <c r="BD590" s="520"/>
      <c r="BE590" s="520"/>
      <c r="BF590" s="520"/>
      <c r="BG590" s="520"/>
      <c r="BH590" s="520"/>
      <c r="BI590" s="520"/>
      <c r="BJ590" s="520"/>
      <c r="BK590" s="520"/>
      <c r="BL590" s="520"/>
    </row>
    <row r="591" spans="1:64" s="86" customFormat="1" ht="42.75" customHeight="1">
      <c r="A591" s="102"/>
      <c r="B591" s="88"/>
      <c r="C591" s="89"/>
      <c r="D591" s="130"/>
      <c r="E591" s="91"/>
      <c r="F591" s="130"/>
      <c r="G591" s="160"/>
      <c r="H591" s="88" t="s">
        <v>1817</v>
      </c>
      <c r="I591" s="106"/>
      <c r="J591" s="107"/>
      <c r="K591" s="134"/>
      <c r="L591" s="96"/>
      <c r="M591" s="110"/>
      <c r="N591" s="98"/>
      <c r="O591" s="99"/>
      <c r="P591" s="130"/>
      <c r="Q591" s="100"/>
      <c r="R591" s="100"/>
      <c r="S591" s="519"/>
      <c r="T591" s="520"/>
      <c r="U591" s="520"/>
      <c r="V591" s="520"/>
      <c r="W591" s="520"/>
      <c r="X591" s="520"/>
      <c r="Y591" s="520"/>
      <c r="Z591" s="520"/>
      <c r="AA591" s="520"/>
      <c r="AB591" s="520"/>
      <c r="AC591" s="520"/>
      <c r="AD591" s="520"/>
      <c r="AE591" s="520"/>
      <c r="AF591" s="520"/>
      <c r="AG591" s="520"/>
      <c r="AH591" s="520"/>
      <c r="AI591" s="520"/>
      <c r="AJ591" s="520"/>
      <c r="AK591" s="520"/>
      <c r="AL591" s="520"/>
      <c r="AM591" s="520"/>
      <c r="AN591" s="520"/>
      <c r="AO591" s="520"/>
      <c r="AP591" s="520"/>
      <c r="AQ591" s="520"/>
      <c r="AR591" s="520"/>
      <c r="AS591" s="520"/>
      <c r="AT591" s="520"/>
      <c r="AU591" s="520"/>
      <c r="AV591" s="520"/>
      <c r="AW591" s="520"/>
      <c r="AX591" s="520"/>
      <c r="AY591" s="520"/>
      <c r="AZ591" s="520"/>
      <c r="BA591" s="520"/>
      <c r="BB591" s="520"/>
      <c r="BC591" s="520"/>
      <c r="BD591" s="520"/>
      <c r="BE591" s="520"/>
      <c r="BF591" s="520"/>
      <c r="BG591" s="520"/>
      <c r="BH591" s="520"/>
      <c r="BI591" s="520"/>
      <c r="BJ591" s="520"/>
      <c r="BK591" s="520"/>
      <c r="BL591" s="520"/>
    </row>
    <row r="592" spans="1:64" s="86" customFormat="1" ht="30.75" customHeight="1">
      <c r="A592" s="102"/>
      <c r="B592" s="88"/>
      <c r="C592" s="89"/>
      <c r="D592" s="130"/>
      <c r="E592" s="91"/>
      <c r="F592" s="130"/>
      <c r="G592" s="160"/>
      <c r="H592" s="88" t="s">
        <v>1818</v>
      </c>
      <c r="I592" s="106"/>
      <c r="J592" s="107"/>
      <c r="K592" s="134"/>
      <c r="L592" s="96"/>
      <c r="M592" s="110"/>
      <c r="N592" s="98"/>
      <c r="O592" s="99"/>
      <c r="P592" s="130"/>
      <c r="Q592" s="100"/>
      <c r="R592" s="100"/>
      <c r="S592" s="519"/>
      <c r="T592" s="520"/>
      <c r="U592" s="520"/>
      <c r="V592" s="520"/>
      <c r="W592" s="520"/>
      <c r="X592" s="520"/>
      <c r="Y592" s="520"/>
      <c r="Z592" s="520"/>
      <c r="AA592" s="520"/>
      <c r="AB592" s="520"/>
      <c r="AC592" s="520"/>
      <c r="AD592" s="520"/>
      <c r="AE592" s="520"/>
      <c r="AF592" s="520"/>
      <c r="AG592" s="520"/>
      <c r="AH592" s="520"/>
      <c r="AI592" s="520"/>
      <c r="AJ592" s="520"/>
      <c r="AK592" s="520"/>
      <c r="AL592" s="520"/>
      <c r="AM592" s="520"/>
      <c r="AN592" s="520"/>
      <c r="AO592" s="520"/>
      <c r="AP592" s="520"/>
      <c r="AQ592" s="520"/>
      <c r="AR592" s="520"/>
      <c r="AS592" s="520"/>
      <c r="AT592" s="520"/>
      <c r="AU592" s="520"/>
      <c r="AV592" s="520"/>
      <c r="AW592" s="520"/>
      <c r="AX592" s="520"/>
      <c r="AY592" s="520"/>
      <c r="AZ592" s="520"/>
      <c r="BA592" s="520"/>
      <c r="BB592" s="520"/>
      <c r="BC592" s="520"/>
      <c r="BD592" s="520"/>
      <c r="BE592" s="520"/>
      <c r="BF592" s="520"/>
      <c r="BG592" s="520"/>
      <c r="BH592" s="520"/>
      <c r="BI592" s="520"/>
      <c r="BJ592" s="520"/>
      <c r="BK592" s="520"/>
      <c r="BL592" s="520"/>
    </row>
    <row r="593" spans="1:64" s="86" customFormat="1" ht="54.75" customHeight="1">
      <c r="A593" s="102"/>
      <c r="B593" s="88"/>
      <c r="C593" s="89"/>
      <c r="D593" s="130"/>
      <c r="E593" s="91"/>
      <c r="F593" s="130"/>
      <c r="G593" s="160"/>
      <c r="H593" s="88" t="s">
        <v>1819</v>
      </c>
      <c r="I593" s="106"/>
      <c r="J593" s="107"/>
      <c r="K593" s="108">
        <f>"mailto:rgillum@nas.edu?subject=Question%20about%20Nov%2012%20webinar"</f>
        <v>0</v>
      </c>
      <c r="L593" s="96"/>
      <c r="M593" s="110"/>
      <c r="N593" s="98"/>
      <c r="O593" s="99"/>
      <c r="P593" s="130"/>
      <c r="Q593" s="100"/>
      <c r="R593" s="100"/>
      <c r="S593" s="519"/>
      <c r="T593" s="520"/>
      <c r="U593" s="520"/>
      <c r="V593" s="520"/>
      <c r="W593" s="520"/>
      <c r="X593" s="520"/>
      <c r="Y593" s="520"/>
      <c r="Z593" s="520"/>
      <c r="AA593" s="520"/>
      <c r="AB593" s="520"/>
      <c r="AC593" s="520"/>
      <c r="AD593" s="520"/>
      <c r="AE593" s="520"/>
      <c r="AF593" s="520"/>
      <c r="AG593" s="520"/>
      <c r="AH593" s="520"/>
      <c r="AI593" s="520"/>
      <c r="AJ593" s="520"/>
      <c r="AK593" s="520"/>
      <c r="AL593" s="520"/>
      <c r="AM593" s="520"/>
      <c r="AN593" s="520"/>
      <c r="AO593" s="520"/>
      <c r="AP593" s="520"/>
      <c r="AQ593" s="520"/>
      <c r="AR593" s="520"/>
      <c r="AS593" s="520"/>
      <c r="AT593" s="520"/>
      <c r="AU593" s="520"/>
      <c r="AV593" s="520"/>
      <c r="AW593" s="520"/>
      <c r="AX593" s="520"/>
      <c r="AY593" s="520"/>
      <c r="AZ593" s="520"/>
      <c r="BA593" s="520"/>
      <c r="BB593" s="520"/>
      <c r="BC593" s="520"/>
      <c r="BD593" s="520"/>
      <c r="BE593" s="520"/>
      <c r="BF593" s="520"/>
      <c r="BG593" s="520"/>
      <c r="BH593" s="520"/>
      <c r="BI593" s="520"/>
      <c r="BJ593" s="520"/>
      <c r="BK593" s="520"/>
      <c r="BL593" s="520"/>
    </row>
    <row r="594" spans="1:64" s="86" customFormat="1" ht="42.75" customHeight="1">
      <c r="A594" s="102"/>
      <c r="B594" s="88"/>
      <c r="C594" s="89"/>
      <c r="D594" s="130"/>
      <c r="E594" s="91"/>
      <c r="F594" s="130"/>
      <c r="G594" s="160"/>
      <c r="H594" s="88" t="s">
        <v>1820</v>
      </c>
      <c r="I594" s="106"/>
      <c r="J594" s="107"/>
      <c r="K594" s="108"/>
      <c r="L594" s="96"/>
      <c r="M594" s="110"/>
      <c r="N594" s="98"/>
      <c r="O594" s="99"/>
      <c r="P594" s="130"/>
      <c r="Q594" s="100"/>
      <c r="R594" s="100"/>
      <c r="S594" s="519"/>
      <c r="T594" s="520"/>
      <c r="U594" s="520"/>
      <c r="V594" s="520"/>
      <c r="W594" s="520"/>
      <c r="X594" s="520"/>
      <c r="Y594" s="520"/>
      <c r="Z594" s="520"/>
      <c r="AA594" s="520"/>
      <c r="AB594" s="520"/>
      <c r="AC594" s="520"/>
      <c r="AD594" s="520"/>
      <c r="AE594" s="520"/>
      <c r="AF594" s="520"/>
      <c r="AG594" s="520"/>
      <c r="AH594" s="520"/>
      <c r="AI594" s="520"/>
      <c r="AJ594" s="520"/>
      <c r="AK594" s="520"/>
      <c r="AL594" s="520"/>
      <c r="AM594" s="520"/>
      <c r="AN594" s="520"/>
      <c r="AO594" s="520"/>
      <c r="AP594" s="520"/>
      <c r="AQ594" s="520"/>
      <c r="AR594" s="520"/>
      <c r="AS594" s="520"/>
      <c r="AT594" s="520"/>
      <c r="AU594" s="520"/>
      <c r="AV594" s="520"/>
      <c r="AW594" s="520"/>
      <c r="AX594" s="520"/>
      <c r="AY594" s="520"/>
      <c r="AZ594" s="520"/>
      <c r="BA594" s="520"/>
      <c r="BB594" s="520"/>
      <c r="BC594" s="520"/>
      <c r="BD594" s="520"/>
      <c r="BE594" s="520"/>
      <c r="BF594" s="520"/>
      <c r="BG594" s="520"/>
      <c r="BH594" s="520"/>
      <c r="BI594" s="520"/>
      <c r="BJ594" s="520"/>
      <c r="BK594" s="520"/>
      <c r="BL594" s="520"/>
    </row>
    <row r="595" spans="1:64" s="86" customFormat="1" ht="30" customHeight="1">
      <c r="A595" s="102"/>
      <c r="B595" s="88"/>
      <c r="C595" s="89"/>
      <c r="D595" s="130"/>
      <c r="E595" s="91"/>
      <c r="F595" s="130"/>
      <c r="G595" s="160"/>
      <c r="H595" s="88" t="s">
        <v>1821</v>
      </c>
      <c r="I595" s="106"/>
      <c r="J595" s="107"/>
      <c r="K595" s="108"/>
      <c r="L595" s="96"/>
      <c r="M595" s="110"/>
      <c r="N595" s="98"/>
      <c r="O595" s="99"/>
      <c r="P595" s="130"/>
      <c r="Q595" s="100"/>
      <c r="R595" s="100"/>
      <c r="S595" s="519"/>
      <c r="T595" s="520"/>
      <c r="U595" s="520"/>
      <c r="V595" s="520"/>
      <c r="W595" s="520"/>
      <c r="X595" s="520"/>
      <c r="Y595" s="520"/>
      <c r="Z595" s="520"/>
      <c r="AA595" s="520"/>
      <c r="AB595" s="520"/>
      <c r="AC595" s="520"/>
      <c r="AD595" s="520"/>
      <c r="AE595" s="520"/>
      <c r="AF595" s="520"/>
      <c r="AG595" s="520"/>
      <c r="AH595" s="520"/>
      <c r="AI595" s="520"/>
      <c r="AJ595" s="520"/>
      <c r="AK595" s="520"/>
      <c r="AL595" s="520"/>
      <c r="AM595" s="520"/>
      <c r="AN595" s="520"/>
      <c r="AO595" s="520"/>
      <c r="AP595" s="520"/>
      <c r="AQ595" s="520"/>
      <c r="AR595" s="520"/>
      <c r="AS595" s="520"/>
      <c r="AT595" s="520"/>
      <c r="AU595" s="520"/>
      <c r="AV595" s="520"/>
      <c r="AW595" s="520"/>
      <c r="AX595" s="520"/>
      <c r="AY595" s="520"/>
      <c r="AZ595" s="520"/>
      <c r="BA595" s="520"/>
      <c r="BB595" s="520"/>
      <c r="BC595" s="520"/>
      <c r="BD595" s="520"/>
      <c r="BE595" s="520"/>
      <c r="BF595" s="520"/>
      <c r="BG595" s="520"/>
      <c r="BH595" s="520"/>
      <c r="BI595" s="520"/>
      <c r="BJ595" s="520"/>
      <c r="BK595" s="520"/>
      <c r="BL595" s="520"/>
    </row>
    <row r="596" spans="1:64" s="86" customFormat="1" ht="42.75" customHeight="1">
      <c r="A596" s="102"/>
      <c r="B596" s="88"/>
      <c r="C596" s="89"/>
      <c r="D596" s="130"/>
      <c r="E596" s="91"/>
      <c r="F596" s="130"/>
      <c r="G596" s="160"/>
      <c r="H596" s="524" t="s">
        <v>1822</v>
      </c>
      <c r="I596" s="106"/>
      <c r="J596" s="107"/>
      <c r="K596" s="108"/>
      <c r="L596" s="96"/>
      <c r="M596" s="110"/>
      <c r="N596" s="98"/>
      <c r="O596" s="99"/>
      <c r="P596" s="130"/>
      <c r="Q596" s="100"/>
      <c r="R596" s="100"/>
      <c r="S596" s="519"/>
      <c r="T596" s="520"/>
      <c r="U596" s="520"/>
      <c r="V596" s="520"/>
      <c r="W596" s="520"/>
      <c r="X596" s="520"/>
      <c r="Y596" s="520"/>
      <c r="Z596" s="520"/>
      <c r="AA596" s="520"/>
      <c r="AB596" s="520"/>
      <c r="AC596" s="520"/>
      <c r="AD596" s="520"/>
      <c r="AE596" s="520"/>
      <c r="AF596" s="520"/>
      <c r="AG596" s="520"/>
      <c r="AH596" s="520"/>
      <c r="AI596" s="520"/>
      <c r="AJ596" s="520"/>
      <c r="AK596" s="520"/>
      <c r="AL596" s="520"/>
      <c r="AM596" s="520"/>
      <c r="AN596" s="520"/>
      <c r="AO596" s="520"/>
      <c r="AP596" s="520"/>
      <c r="AQ596" s="520"/>
      <c r="AR596" s="520"/>
      <c r="AS596" s="520"/>
      <c r="AT596" s="520"/>
      <c r="AU596" s="520"/>
      <c r="AV596" s="520"/>
      <c r="AW596" s="520"/>
      <c r="AX596" s="520"/>
      <c r="AY596" s="520"/>
      <c r="AZ596" s="520"/>
      <c r="BA596" s="520"/>
      <c r="BB596" s="520"/>
      <c r="BC596" s="520"/>
      <c r="BD596" s="520"/>
      <c r="BE596" s="520"/>
      <c r="BF596" s="520"/>
      <c r="BG596" s="520"/>
      <c r="BH596" s="520"/>
      <c r="BI596" s="520"/>
      <c r="BJ596" s="520"/>
      <c r="BK596" s="520"/>
      <c r="BL596" s="520"/>
    </row>
    <row r="597" spans="1:64" s="86" customFormat="1" ht="30.75" customHeight="1">
      <c r="A597" s="102"/>
      <c r="B597" s="88"/>
      <c r="C597" s="89"/>
      <c r="D597" s="130"/>
      <c r="E597" s="91"/>
      <c r="F597" s="130"/>
      <c r="G597" s="160"/>
      <c r="H597" s="132" t="s">
        <v>1823</v>
      </c>
      <c r="I597" s="106"/>
      <c r="J597" s="107"/>
      <c r="K597" s="108"/>
      <c r="L597" s="96"/>
      <c r="M597" s="110"/>
      <c r="N597" s="98"/>
      <c r="O597" s="99"/>
      <c r="P597" s="130"/>
      <c r="Q597" s="100"/>
      <c r="R597" s="100"/>
      <c r="S597" s="519"/>
      <c r="T597" s="520"/>
      <c r="U597" s="520"/>
      <c r="V597" s="520"/>
      <c r="W597" s="520"/>
      <c r="X597" s="520"/>
      <c r="Y597" s="520"/>
      <c r="Z597" s="520"/>
      <c r="AA597" s="520"/>
      <c r="AB597" s="520"/>
      <c r="AC597" s="520"/>
      <c r="AD597" s="520"/>
      <c r="AE597" s="520"/>
      <c r="AF597" s="520"/>
      <c r="AG597" s="520"/>
      <c r="AH597" s="520"/>
      <c r="AI597" s="520"/>
      <c r="AJ597" s="520"/>
      <c r="AK597" s="520"/>
      <c r="AL597" s="520"/>
      <c r="AM597" s="520"/>
      <c r="AN597" s="520"/>
      <c r="AO597" s="520"/>
      <c r="AP597" s="520"/>
      <c r="AQ597" s="520"/>
      <c r="AR597" s="520"/>
      <c r="AS597" s="520"/>
      <c r="AT597" s="520"/>
      <c r="AU597" s="520"/>
      <c r="AV597" s="520"/>
      <c r="AW597" s="520"/>
      <c r="AX597" s="520"/>
      <c r="AY597" s="520"/>
      <c r="AZ597" s="520"/>
      <c r="BA597" s="520"/>
      <c r="BB597" s="520"/>
      <c r="BC597" s="520"/>
      <c r="BD597" s="520"/>
      <c r="BE597" s="520"/>
      <c r="BF597" s="520"/>
      <c r="BG597" s="520"/>
      <c r="BH597" s="520"/>
      <c r="BI597" s="520"/>
      <c r="BJ597" s="520"/>
      <c r="BK597" s="520"/>
      <c r="BL597" s="520"/>
    </row>
    <row r="598" spans="1:64" ht="65.25" customHeight="1">
      <c r="A598" s="87" t="s">
        <v>601</v>
      </c>
      <c r="B598" s="88" t="s">
        <v>1824</v>
      </c>
      <c r="C598" s="89">
        <f>"http://transportationcamp.org/events/pgh2020/"</f>
        <v>0</v>
      </c>
      <c r="D598" s="90" t="s">
        <v>603</v>
      </c>
      <c r="E598" s="91" t="s">
        <v>1825</v>
      </c>
      <c r="F598" s="90" t="s">
        <v>605</v>
      </c>
      <c r="G598" s="501" t="s">
        <v>606</v>
      </c>
      <c r="H598" s="525">
        <f>"Registration:  https://whova.com/portal/registration/trans7_202010/"</f>
        <v>0</v>
      </c>
      <c r="I598" s="106"/>
      <c r="J598" s="202"/>
      <c r="K598" s="307">
        <f>"Series link:  http://transportationcamp.org/"</f>
        <v>0</v>
      </c>
      <c r="L598" s="96">
        <f>"Essential guide:  http://transportationcamp.org/2011/02/how-transportationcamp-works-the-essential-guide/"</f>
        <v>0</v>
      </c>
      <c r="M598" s="96"/>
      <c r="N598" s="98"/>
      <c r="O598" s="99"/>
      <c r="P598" s="90"/>
      <c r="Q598" s="100" t="s">
        <v>85</v>
      </c>
      <c r="R598" s="101" t="s">
        <v>607</v>
      </c>
      <c r="S598" s="85"/>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row>
    <row r="599" spans="1:64" s="86" customFormat="1" ht="65.25" customHeight="1">
      <c r="A599" s="102" t="s">
        <v>1826</v>
      </c>
      <c r="B599" s="88" t="s">
        <v>1827</v>
      </c>
      <c r="C599" s="89">
        <f>"https://mailchi.mp/271627687e74/ieee-vtm-call-for-special-issue-papers?e=fc15732a75"</f>
        <v>0</v>
      </c>
      <c r="D599" s="183"/>
      <c r="E599" s="91" t="s">
        <v>1828</v>
      </c>
      <c r="F599" s="183" t="s">
        <v>1829</v>
      </c>
      <c r="G599" s="104" t="s">
        <v>1830</v>
      </c>
      <c r="H599" s="526" t="s">
        <v>1831</v>
      </c>
      <c r="I599" s="162"/>
      <c r="J599" s="163"/>
      <c r="K599" s="144">
        <f>"https://vtsociety.org/contact-us/"</f>
        <v>0</v>
      </c>
      <c r="L599" s="159">
        <f>"http://www.ieeevtc.org/vtmagazine/specisu--AutomatedVehicles.php"</f>
        <v>0</v>
      </c>
      <c r="M599" s="110">
        <f>"http://www.ieeevtc.org/vtmagazine/specisu--AutomatedVehicles.pdf"</f>
        <v>0</v>
      </c>
      <c r="N599" s="146" t="s">
        <v>1832</v>
      </c>
      <c r="O599" s="99" t="s">
        <v>1833</v>
      </c>
      <c r="P599" s="183">
        <f>"http://www.ieeevtc.org/vtmagazine/"</f>
        <v>0</v>
      </c>
      <c r="Q599" s="100" t="s">
        <v>54</v>
      </c>
      <c r="R599" s="128" t="s">
        <v>55</v>
      </c>
      <c r="S599" s="85"/>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row>
    <row r="600" spans="1:64" s="86" customFormat="1" ht="58.5" customHeight="1">
      <c r="A600" s="527" t="s">
        <v>1771</v>
      </c>
      <c r="B600" s="528" t="s">
        <v>1772</v>
      </c>
      <c r="C600" s="529">
        <f>"https://www.sae.org/learn/content/c0828/"</f>
        <v>0</v>
      </c>
      <c r="D600" s="530" t="s">
        <v>552</v>
      </c>
      <c r="E600" s="531" t="s">
        <v>1834</v>
      </c>
      <c r="F600" s="530" t="s">
        <v>1774</v>
      </c>
      <c r="G600" s="532" t="s">
        <v>1775</v>
      </c>
      <c r="H600" s="533">
        <f>"Instructor: James Masiak"</f>
        <v>0</v>
      </c>
      <c r="I600" s="534" t="s">
        <v>1776</v>
      </c>
      <c r="J600" s="535"/>
      <c r="K600" s="536"/>
      <c r="L600" s="537" t="s">
        <v>1835</v>
      </c>
      <c r="M600" s="538" t="s">
        <v>433</v>
      </c>
      <c r="N600" s="539"/>
      <c r="O600" s="540" t="s">
        <v>396</v>
      </c>
      <c r="P600" s="530" t="s">
        <v>397</v>
      </c>
      <c r="Q600" s="541" t="s">
        <v>54</v>
      </c>
      <c r="R600" s="542" t="s">
        <v>55</v>
      </c>
      <c r="S600" s="85"/>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row>
    <row r="601" spans="1:64" ht="58.5" customHeight="1">
      <c r="A601" s="527" t="s">
        <v>508</v>
      </c>
      <c r="B601" s="528" t="s">
        <v>1836</v>
      </c>
      <c r="C601" s="529">
        <f>"https://www.sae.org/learn/content/c1732/"</f>
        <v>0</v>
      </c>
      <c r="D601" s="543" t="s">
        <v>1837</v>
      </c>
      <c r="E601" s="531" t="s">
        <v>1838</v>
      </c>
      <c r="F601" s="543" t="s">
        <v>512</v>
      </c>
      <c r="G601" s="532" t="s">
        <v>513</v>
      </c>
      <c r="H601" s="544" t="s">
        <v>1839</v>
      </c>
      <c r="I601" s="545" t="s">
        <v>1545</v>
      </c>
      <c r="J601" s="535"/>
      <c r="K601" s="536"/>
      <c r="L601" s="546" t="s">
        <v>1562</v>
      </c>
      <c r="M601" s="547" t="s">
        <v>459</v>
      </c>
      <c r="N601" s="548">
        <f>"Instructor: Dr. Mark Quarto"</f>
        <v>0</v>
      </c>
      <c r="O601" s="540" t="s">
        <v>396</v>
      </c>
      <c r="P601" s="543">
        <f>"https://www.sae.org/learn/professional-development"</f>
        <v>0</v>
      </c>
      <c r="Q601" s="541" t="s">
        <v>54</v>
      </c>
      <c r="R601" s="542" t="s">
        <v>55</v>
      </c>
      <c r="S601" s="85"/>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row>
    <row r="602" spans="1:64" s="86" customFormat="1" ht="54.75" customHeight="1">
      <c r="A602" s="165" t="s">
        <v>1840</v>
      </c>
      <c r="B602" s="473" t="s">
        <v>1841</v>
      </c>
      <c r="C602" s="473">
        <f>"https://events.techconnect.org/DTCFall/"</f>
        <v>0</v>
      </c>
      <c r="D602" s="90" t="s">
        <v>1707</v>
      </c>
      <c r="E602" s="91" t="s">
        <v>1842</v>
      </c>
      <c r="F602" s="90" t="s">
        <v>1843</v>
      </c>
      <c r="G602" s="549" t="s">
        <v>1844</v>
      </c>
      <c r="H602" s="365"/>
      <c r="I602" s="550"/>
      <c r="J602" s="170" t="s">
        <v>1845</v>
      </c>
      <c r="K602" s="434" t="s">
        <v>1846</v>
      </c>
      <c r="L602" s="145">
        <f>"Call for Innovations:  https://events.techconnect.org/DTCFall/innovation/"</f>
        <v>0</v>
      </c>
      <c r="M602" s="551">
        <f>"https://events.techconnect.org/DTCFall/partner/innovation/form.html"</f>
        <v>0</v>
      </c>
      <c r="N602" s="508">
        <f>"2020/09/25 (extended from 2020/09/03 and 07/17)"</f>
        <v>0</v>
      </c>
      <c r="O602" s="359" t="s">
        <v>357</v>
      </c>
      <c r="P602" s="90">
        <f>"https://techconnect.org/events/"</f>
        <v>0</v>
      </c>
      <c r="Q602" s="360" t="s">
        <v>54</v>
      </c>
      <c r="R602" s="254" t="s">
        <v>55</v>
      </c>
      <c r="S602" s="85"/>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row>
    <row r="603" spans="1:64" s="86" customFormat="1" ht="50.25" customHeight="1">
      <c r="A603" s="165"/>
      <c r="B603" s="473"/>
      <c r="C603" s="473"/>
      <c r="D603" s="90"/>
      <c r="E603" s="91"/>
      <c r="F603" s="90"/>
      <c r="G603" s="549"/>
      <c r="H603" s="365"/>
      <c r="I603" s="550"/>
      <c r="J603" s="170"/>
      <c r="K603" s="434"/>
      <c r="L603" s="145" t="s">
        <v>1847</v>
      </c>
      <c r="M603" s="173">
        <f>"https://events.techconnect.org/DTCFall/partner/panel/form.html"</f>
        <v>0</v>
      </c>
      <c r="N603" s="508">
        <f>"2020/07/17"</f>
        <v>0</v>
      </c>
      <c r="O603" s="359"/>
      <c r="P603" s="90"/>
      <c r="Q603" s="360"/>
      <c r="R603" s="254"/>
      <c r="S603" s="85"/>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row>
    <row r="604" spans="1:64" s="86" customFormat="1" ht="51.75" customHeight="1">
      <c r="A604" s="165"/>
      <c r="B604" s="473"/>
      <c r="C604" s="473"/>
      <c r="D604" s="90"/>
      <c r="E604" s="91"/>
      <c r="F604" s="90"/>
      <c r="G604" s="549"/>
      <c r="H604" s="365"/>
      <c r="I604" s="550"/>
      <c r="J604" s="170"/>
      <c r="K604" s="434"/>
      <c r="L604" s="145" t="s">
        <v>1848</v>
      </c>
      <c r="M604" s="173">
        <f>"https://events.techconnect.org/DTCFall/partner/abstract/form.html"</f>
        <v>0</v>
      </c>
      <c r="N604" s="508">
        <f>"2020/10/30 (extended from 2020/09/25, 09/03 and 07/17)"</f>
        <v>0</v>
      </c>
      <c r="O604" s="359"/>
      <c r="P604" s="90"/>
      <c r="Q604" s="360"/>
      <c r="R604" s="254"/>
      <c r="S604" s="85"/>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row>
    <row r="605" spans="1:64" ht="41.25" customHeight="1">
      <c r="A605" s="112" t="s">
        <v>350</v>
      </c>
      <c r="B605" s="113" t="s">
        <v>1706</v>
      </c>
      <c r="C605" s="143">
        <f>"https://fall.smartcitiesconnect.org/"</f>
        <v>0</v>
      </c>
      <c r="D605" s="148" t="s">
        <v>1034</v>
      </c>
      <c r="E605" s="116" t="s">
        <v>1849</v>
      </c>
      <c r="F605" s="148" t="s">
        <v>354</v>
      </c>
      <c r="G605" s="117" t="s">
        <v>355</v>
      </c>
      <c r="H605" s="214"/>
      <c r="I605" s="215"/>
      <c r="J605" s="120" t="s">
        <v>1709</v>
      </c>
      <c r="K605" s="241"/>
      <c r="L605" s="552">
        <f>"Panel Proposals:  https://fall.smartcitiesconnect.org/panel/form.html"</f>
        <v>0</v>
      </c>
      <c r="M605" s="295"/>
      <c r="N605" s="553" t="s">
        <v>1710</v>
      </c>
      <c r="O605" s="125" t="s">
        <v>357</v>
      </c>
      <c r="P605" s="148">
        <f>"https://techconnect.org/events/"</f>
        <v>0</v>
      </c>
      <c r="Q605" s="126" t="s">
        <v>54</v>
      </c>
      <c r="R605" s="213" t="s">
        <v>55</v>
      </c>
      <c r="S605" s="141"/>
      <c r="T605" s="86"/>
      <c r="U605" s="86"/>
      <c r="V605" s="86"/>
      <c r="W605" s="86"/>
      <c r="X605" s="86"/>
      <c r="Y605" s="86"/>
      <c r="Z605" s="86"/>
      <c r="AA605" s="86"/>
      <c r="AB605" s="86"/>
      <c r="AC605" s="86"/>
      <c r="AD605" s="86"/>
      <c r="AE605" s="86"/>
      <c r="AF605" s="86"/>
      <c r="AG605" s="86"/>
      <c r="AH605" s="86"/>
      <c r="AI605" s="86"/>
      <c r="AJ605" s="86"/>
      <c r="AK605" s="86"/>
      <c r="AL605" s="86"/>
      <c r="AM605" s="86"/>
      <c r="AN605" s="86"/>
      <c r="AO605" s="86"/>
      <c r="AP605" s="86"/>
      <c r="AQ605" s="86"/>
      <c r="AR605" s="86"/>
      <c r="AS605" s="86"/>
      <c r="AT605" s="86"/>
      <c r="AU605" s="86"/>
      <c r="AV605" s="86"/>
      <c r="AW605" s="86"/>
      <c r="AX605" s="86"/>
      <c r="AY605" s="86"/>
      <c r="AZ605" s="86"/>
      <c r="BA605" s="86"/>
      <c r="BB605" s="86"/>
      <c r="BC605" s="86"/>
      <c r="BD605" s="86"/>
      <c r="BE605" s="86"/>
      <c r="BF605" s="86"/>
      <c r="BG605" s="86"/>
      <c r="BH605" s="86"/>
      <c r="BI605" s="86"/>
      <c r="BJ605" s="86"/>
      <c r="BK605" s="86"/>
      <c r="BL605" s="86"/>
    </row>
    <row r="606" spans="1:64" ht="42" customHeight="1">
      <c r="A606" s="112"/>
      <c r="B606" s="113"/>
      <c r="C606" s="143"/>
      <c r="D606" s="148"/>
      <c r="E606" s="116"/>
      <c r="F606" s="148"/>
      <c r="G606" s="117"/>
      <c r="H606" s="214"/>
      <c r="I606" s="215"/>
      <c r="J606" s="120"/>
      <c r="K606" s="241"/>
      <c r="L606" s="407">
        <f>"Smart Cities Startup Challenge:  https://spring.smartcitiesconnect.org/innovation_challenge.html"</f>
        <v>0</v>
      </c>
      <c r="M606" s="293">
        <f>"https://spring.smartcitiesconnect.org/innovation/form.html"</f>
        <v>0</v>
      </c>
      <c r="N606" s="338" t="s">
        <v>356</v>
      </c>
      <c r="O606" s="125"/>
      <c r="P606" s="148"/>
      <c r="Q606" s="126"/>
      <c r="R606" s="213"/>
      <c r="S606" s="141"/>
      <c r="T606" s="86"/>
      <c r="U606" s="86"/>
      <c r="V606" s="86"/>
      <c r="W606" s="86"/>
      <c r="X606" s="86"/>
      <c r="Y606" s="86"/>
      <c r="Z606" s="86"/>
      <c r="AA606" s="86"/>
      <c r="AB606" s="86"/>
      <c r="AC606" s="86"/>
      <c r="AD606" s="86"/>
      <c r="AE606" s="86"/>
      <c r="AF606" s="86"/>
      <c r="AG606" s="86"/>
      <c r="AH606" s="86"/>
      <c r="AI606" s="86"/>
      <c r="AJ606" s="86"/>
      <c r="AK606" s="86"/>
      <c r="AL606" s="86"/>
      <c r="AM606" s="86"/>
      <c r="AN606" s="86"/>
      <c r="AO606" s="86"/>
      <c r="AP606" s="86"/>
      <c r="AQ606" s="86"/>
      <c r="AR606" s="86"/>
      <c r="AS606" s="86"/>
      <c r="AT606" s="86"/>
      <c r="AU606" s="86"/>
      <c r="AV606" s="86"/>
      <c r="AW606" s="86"/>
      <c r="AX606" s="86"/>
      <c r="AY606" s="86"/>
      <c r="AZ606" s="86"/>
      <c r="BA606" s="86"/>
      <c r="BB606" s="86"/>
      <c r="BC606" s="86"/>
      <c r="BD606" s="86"/>
      <c r="BE606" s="86"/>
      <c r="BF606" s="86"/>
      <c r="BG606" s="86"/>
      <c r="BH606" s="86"/>
      <c r="BI606" s="86"/>
      <c r="BJ606" s="86"/>
      <c r="BK606" s="86"/>
      <c r="BL606" s="86"/>
    </row>
    <row r="607" spans="1:64" s="86" customFormat="1" ht="54.75" customHeight="1">
      <c r="A607" s="87" t="s">
        <v>1850</v>
      </c>
      <c r="B607" s="90" t="s">
        <v>1851</v>
      </c>
      <c r="C607" s="90">
        <f>"https://events.techconnect.org/DTCFall/sbir.html"</f>
        <v>0</v>
      </c>
      <c r="D607" s="90" t="s">
        <v>1707</v>
      </c>
      <c r="E607" s="91" t="s">
        <v>1852</v>
      </c>
      <c r="F607" s="90" t="s">
        <v>1853</v>
      </c>
      <c r="G607" s="136" t="s">
        <v>1854</v>
      </c>
      <c r="H607" s="365"/>
      <c r="I607" s="318"/>
      <c r="J607" s="107" t="s">
        <v>1855</v>
      </c>
      <c r="K607" s="434"/>
      <c r="L607" s="145">
        <f>"Call for Innovations:  https://events.techconnect.org/DTCFall/innovation/"</f>
        <v>0</v>
      </c>
      <c r="M607" s="173">
        <f>"https://events.techconnect.org/DTCFall/partner/innovation/form.html"</f>
        <v>0</v>
      </c>
      <c r="N607" s="508">
        <f>"2020/09/25 (extended from 2020/09/03 and 07/17)"</f>
        <v>0</v>
      </c>
      <c r="O607" s="359" t="s">
        <v>357</v>
      </c>
      <c r="P607" s="130" t="s">
        <v>1856</v>
      </c>
      <c r="Q607" s="360" t="s">
        <v>54</v>
      </c>
      <c r="R607" s="254" t="s">
        <v>55</v>
      </c>
      <c r="S607" s="85"/>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row>
    <row r="608" spans="1:64" ht="30" customHeight="1">
      <c r="A608" s="87"/>
      <c r="B608" s="90"/>
      <c r="C608" s="90"/>
      <c r="D608" s="90"/>
      <c r="E608" s="91"/>
      <c r="F608" s="91"/>
      <c r="G608" s="136"/>
      <c r="H608" s="365"/>
      <c r="I608" s="318"/>
      <c r="J608" s="107"/>
      <c r="K608" s="434"/>
      <c r="L608" s="441">
        <f>"Exhibitor&amp;rsquo;s info.:  https://fall.smartcitiesconnect.org/expo/"</f>
        <v>0</v>
      </c>
      <c r="M608" s="554"/>
      <c r="N608" s="555"/>
      <c r="O608" s="359"/>
      <c r="P608" s="130"/>
      <c r="Q608" s="360"/>
      <c r="R608" s="254"/>
      <c r="S608" s="85"/>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row>
    <row r="609" spans="1:64" s="86" customFormat="1" ht="84" customHeight="1">
      <c r="A609" s="87" t="s">
        <v>1748</v>
      </c>
      <c r="B609" s="88" t="s">
        <v>1749</v>
      </c>
      <c r="C609" s="89">
        <f>"https://aec-conference.eu/"</f>
        <v>0</v>
      </c>
      <c r="D609" s="183" t="s">
        <v>1857</v>
      </c>
      <c r="E609" s="91" t="s">
        <v>1858</v>
      </c>
      <c r="F609" s="183" t="s">
        <v>823</v>
      </c>
      <c r="G609" s="104">
        <f>"The mobility ecosystem is set to evolve and change drastically in the coming five years &amp;hellip;.&amp;nbsp; Electromobility is the most efficient solution to achieve carbon neutrality in Europe by 2050."</f>
        <v>0</v>
      </c>
      <c r="H609" s="132">
        <f>"Webinar:  #AEC-Webinar"</f>
        <v>0</v>
      </c>
      <c r="I609" s="135"/>
      <c r="J609" s="133"/>
      <c r="K609" s="108">
        <f>"https://aec-conference.eu/#contact"</f>
        <v>0</v>
      </c>
      <c r="L609" s="109"/>
      <c r="M609" s="110"/>
      <c r="N609" s="336"/>
      <c r="O609" s="359" t="s">
        <v>187</v>
      </c>
      <c r="P609" s="183" t="s">
        <v>340</v>
      </c>
      <c r="Q609" s="100" t="s">
        <v>54</v>
      </c>
      <c r="R609" s="128" t="s">
        <v>55</v>
      </c>
      <c r="S609" s="85"/>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row>
    <row r="610" spans="1:64" s="86" customFormat="1" ht="38.25" customHeight="1">
      <c r="A610" s="320" t="s">
        <v>934</v>
      </c>
      <c r="B610" s="321" t="s">
        <v>935</v>
      </c>
      <c r="C610" s="322">
        <f>"https://www.intertraffic.com/china/"</f>
        <v>0</v>
      </c>
      <c r="D610" s="323" t="s">
        <v>936</v>
      </c>
      <c r="E610" s="556">
        <f>"2020/11/18 – 20 (Postponed from 08/26 – 28)"</f>
        <v>0</v>
      </c>
      <c r="F610" s="323" t="s">
        <v>938</v>
      </c>
      <c r="G610" s="325" t="s">
        <v>939</v>
      </c>
      <c r="H610" s="190"/>
      <c r="I610" s="203"/>
      <c r="J610" s="195"/>
      <c r="K610" s="134">
        <f>"https://www.intertraffic.com/contact/"</f>
        <v>0</v>
      </c>
      <c r="L610" s="398">
        <f>"Exhibitor's info: https://www.intertraffic.com/china/exhibiting/"</f>
        <v>0</v>
      </c>
      <c r="M610" s="110">
        <f>"About:  https://www.intertraffic.com/china/exhibition-info/"</f>
        <v>0</v>
      </c>
      <c r="N610" s="98"/>
      <c r="O610" s="203" t="s">
        <v>540</v>
      </c>
      <c r="P610" s="195">
        <f>"https://www.intertraffic.com/"</f>
        <v>0</v>
      </c>
      <c r="Q610" s="302" t="s">
        <v>54</v>
      </c>
      <c r="R610" s="333" t="s">
        <v>55</v>
      </c>
      <c r="S610" s="85"/>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row>
    <row r="611" spans="1:64" ht="38.25" customHeight="1">
      <c r="A611" s="320"/>
      <c r="B611" s="321"/>
      <c r="C611" s="454">
        <f>"In Chinese:  http://www.intertrafficchina.com/"</f>
        <v>0</v>
      </c>
      <c r="D611" s="323"/>
      <c r="E611" s="556"/>
      <c r="F611" s="323"/>
      <c r="G611" s="325"/>
      <c r="H611" s="190"/>
      <c r="I611" s="203"/>
      <c r="J611" s="195"/>
      <c r="K611" s="134"/>
      <c r="L611" s="398"/>
      <c r="M611" s="110"/>
      <c r="N611" s="98"/>
      <c r="O611" s="203"/>
      <c r="P611" s="195"/>
      <c r="Q611" s="302"/>
      <c r="R611" s="333"/>
      <c r="S611" s="85"/>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row>
    <row r="612" spans="1:64" s="86" customFormat="1" ht="61.5" customHeight="1">
      <c r="A612" s="87" t="s">
        <v>1590</v>
      </c>
      <c r="B612" s="88" t="s">
        <v>1859</v>
      </c>
      <c r="C612" s="89">
        <f>"https://www.sae.org/learn/content/c1869"</f>
        <v>0</v>
      </c>
      <c r="D612" s="183" t="s">
        <v>1860</v>
      </c>
      <c r="E612" s="91" t="s">
        <v>1861</v>
      </c>
      <c r="F612" s="183" t="s">
        <v>1594</v>
      </c>
      <c r="G612" s="306" t="s">
        <v>1595</v>
      </c>
      <c r="H612" s="132">
        <f>"Instructor: Alan Moore"</f>
        <v>0</v>
      </c>
      <c r="I612" s="135"/>
      <c r="J612" s="202"/>
      <c r="K612" s="108"/>
      <c r="L612" s="199" t="s">
        <v>1862</v>
      </c>
      <c r="M612" s="176" t="s">
        <v>459</v>
      </c>
      <c r="N612" s="181"/>
      <c r="O612" s="99" t="s">
        <v>396</v>
      </c>
      <c r="P612" s="183" t="s">
        <v>397</v>
      </c>
      <c r="Q612" s="100" t="s">
        <v>54</v>
      </c>
      <c r="R612" s="128" t="s">
        <v>55</v>
      </c>
      <c r="S612" s="85"/>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row>
    <row r="613" spans="1:64" ht="56.25" customHeight="1">
      <c r="A613" s="87" t="s">
        <v>1863</v>
      </c>
      <c r="B613" s="88" t="s">
        <v>1864</v>
      </c>
      <c r="C613" s="89">
        <f>"https://events.vtsociety.org/vtc2020-fall/"</f>
        <v>0</v>
      </c>
      <c r="D613" s="90" t="s">
        <v>1865</v>
      </c>
      <c r="E613" s="91" t="s">
        <v>1866</v>
      </c>
      <c r="F613" s="90" t="s">
        <v>775</v>
      </c>
      <c r="G613" s="501" t="s">
        <v>1867</v>
      </c>
      <c r="H613" s="525">
        <f>"Diversity Workshop:    https://www.cn.ece.uvic.ca/wkshop_9/"</f>
        <v>0</v>
      </c>
      <c r="I613" s="557" t="s">
        <v>1868</v>
      </c>
      <c r="J613" s="558"/>
      <c r="K613" s="439">
        <f>"http://www.ieeevtc.org/vtc2019fall/committees.php"</f>
        <v>0</v>
      </c>
      <c r="L613" s="145">
        <f>"https://events.vtsociety.org/vtc2020-fall/authors/call-for-papers-2/"</f>
        <v>0</v>
      </c>
      <c r="M613" s="173">
        <f>"Explanations of tracks:  https://vtc2020fall.trackchair.com/"</f>
        <v>0</v>
      </c>
      <c r="N613" s="180">
        <f>"5-page paper only:  2020/04/04 (firm) (extended from 03/23 and 03/02)"</f>
        <v>0</v>
      </c>
      <c r="O613" s="359" t="s">
        <v>778</v>
      </c>
      <c r="P613" s="90" t="s">
        <v>1869</v>
      </c>
      <c r="Q613" s="360" t="s">
        <v>54</v>
      </c>
      <c r="R613" s="254" t="s">
        <v>1870</v>
      </c>
      <c r="S613" s="85"/>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row>
    <row r="614" spans="1:64" ht="78" customHeight="1">
      <c r="A614" s="87"/>
      <c r="B614" s="88"/>
      <c r="C614" s="89"/>
      <c r="D614" s="90"/>
      <c r="E614" s="90"/>
      <c r="F614" s="90"/>
      <c r="G614" s="501"/>
      <c r="H614" s="525"/>
      <c r="I614" s="557"/>
      <c r="J614" s="558"/>
      <c r="K614" s="439"/>
      <c r="L614" s="145">
        <f>"Call for Workshop Proposals:  https://events.vtsociety.org/vtc2020-fall/conference-sessions/call-for-workshops/"</f>
        <v>0</v>
      </c>
      <c r="M614" s="173">
        <f>"https://events.vtsociety.org/vtc2020-fall/conference-sessions/call-for-workshops/workshop-proposal-form/"</f>
        <v>0</v>
      </c>
      <c r="N614" s="180">
        <f>"2020/03/02"</f>
        <v>0</v>
      </c>
      <c r="O614" s="359"/>
      <c r="P614" s="90"/>
      <c r="Q614" s="360"/>
      <c r="R614" s="254"/>
      <c r="S614" s="85"/>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row>
    <row r="615" spans="1:64" ht="52.5" customHeight="1">
      <c r="A615" s="87"/>
      <c r="B615" s="88"/>
      <c r="C615" s="89"/>
      <c r="D615" s="90"/>
      <c r="E615" s="90"/>
      <c r="F615" s="90"/>
      <c r="G615" s="132">
        <f>"registration:  https://events.vtsociety.org/vtc2020-fall/registration-2/"</f>
        <v>0</v>
      </c>
      <c r="H615" s="525"/>
      <c r="I615" s="557"/>
      <c r="J615" s="558"/>
      <c r="K615" s="439"/>
      <c r="L615" s="145">
        <f>"Call for Workshop Papers:  https://events.vtsociety.org/vtc2020-fall/conference-sessions/call-for-workshops/"</f>
        <v>0</v>
      </c>
      <c r="M615" s="463"/>
      <c r="N615" s="180" t="s">
        <v>1871</v>
      </c>
      <c r="O615" s="359"/>
      <c r="P615" s="90"/>
      <c r="Q615" s="360"/>
      <c r="R615" s="254"/>
      <c r="S615" s="85"/>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row>
    <row r="616" spans="1:64" ht="76.5" customHeight="1">
      <c r="A616" s="87"/>
      <c r="B616" s="88"/>
      <c r="C616" s="89"/>
      <c r="D616" s="90"/>
      <c r="E616" s="90"/>
      <c r="F616" s="90"/>
      <c r="G616" s="306"/>
      <c r="H616" s="132" t="s">
        <v>1845</v>
      </c>
      <c r="I616" s="348" t="s">
        <v>1872</v>
      </c>
      <c r="J616" s="275"/>
      <c r="K616" s="349">
        <f>"mailto:vtc2019fall_workshops@ieeevtc.org"</f>
        <v>0</v>
      </c>
      <c r="L616" s="145">
        <f>"Call for tutorials:  https://events.vtsociety.org/vtc2020-fall/conference-sessions/call-for-tutorials/"</f>
        <v>0</v>
      </c>
      <c r="M616" s="110">
        <f>"https://events.vtsociety.org/vtc2020-fall/conference-sessions/call-for-tutorials/tutorial-proposal-submission-form/"</f>
        <v>0</v>
      </c>
      <c r="N616" s="180">
        <f>"Full Proposals due:  2020/04/06"</f>
        <v>0</v>
      </c>
      <c r="O616" s="359"/>
      <c r="P616" s="90"/>
      <c r="Q616" s="360"/>
      <c r="R616" s="254"/>
      <c r="S616" s="85"/>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row>
    <row r="617" spans="1:64" ht="76.5" customHeight="1">
      <c r="A617" s="87"/>
      <c r="B617" s="88"/>
      <c r="C617" s="89"/>
      <c r="D617" s="90"/>
      <c r="E617" s="90"/>
      <c r="F617" s="90"/>
      <c r="G617" s="306"/>
      <c r="H617" s="132"/>
      <c r="I617" s="348"/>
      <c r="J617" s="275"/>
      <c r="K617" s="349"/>
      <c r="L617" s="145">
        <f>"Recent-Results Track:  Oral or poster presentation with Proceedings Paper, or Demo with Short Papaer"</f>
        <v>0</v>
      </c>
      <c r="M617" s="110">
        <f>"https://vtc2020-fall-rr.trackchair.com/"</f>
        <v>0</v>
      </c>
      <c r="N617" s="146" t="s">
        <v>1873</v>
      </c>
      <c r="O617" s="359"/>
      <c r="P617" s="90"/>
      <c r="Q617" s="360"/>
      <c r="R617" s="254"/>
      <c r="S617" s="85"/>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row>
    <row r="618" spans="1:64" ht="76.5" customHeight="1">
      <c r="A618" s="87"/>
      <c r="B618" s="88"/>
      <c r="C618" s="89"/>
      <c r="D618" s="90"/>
      <c r="E618" s="90"/>
      <c r="F618" s="90"/>
      <c r="G618" s="306"/>
      <c r="H618" s="132"/>
      <c r="I618" s="348"/>
      <c r="J618" s="275"/>
      <c r="K618" s="349"/>
      <c r="L618" s="362">
        <f>"IEEE VTS Student Travel Grant (Undergrad or Grad, must present paper, maximum $1000):  https://vtc2020s-rr-wks.trackchair.com/track/1923"</f>
        <v>0</v>
      </c>
      <c r="M618" s="183">
        <f>"https://vtc2020s-rr-wks.trackchair.com/track/1923/submit"</f>
        <v>0</v>
      </c>
      <c r="N618" s="180" t="s">
        <v>1874</v>
      </c>
      <c r="O618" s="359"/>
      <c r="P618" s="90"/>
      <c r="Q618" s="360"/>
      <c r="R618" s="254"/>
      <c r="S618" s="85"/>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row>
    <row r="619" spans="1:64" s="86" customFormat="1" ht="84.75" customHeight="1">
      <c r="A619" s="87" t="s">
        <v>1875</v>
      </c>
      <c r="B619" s="88" t="s">
        <v>1876</v>
      </c>
      <c r="C619" s="89">
        <f>"https://events.vtsociety.org/ieee-cavs-2020/"</f>
        <v>0</v>
      </c>
      <c r="D619" s="183" t="s">
        <v>1865</v>
      </c>
      <c r="E619" s="91" t="s">
        <v>1877</v>
      </c>
      <c r="F619" s="183" t="s">
        <v>1878</v>
      </c>
      <c r="G619" s="306" t="s">
        <v>1879</v>
      </c>
      <c r="H619" s="132" t="s">
        <v>1855</v>
      </c>
      <c r="I619" s="318"/>
      <c r="J619" s="202"/>
      <c r="K619" s="319"/>
      <c r="L619" s="145">
        <f>"https://ieee-cavs2020.trackchair.com/"</f>
        <v>0</v>
      </c>
      <c r="M619" s="110">
        <f>"https://www.trackchair.com/auth/login"</f>
        <v>0</v>
      </c>
      <c r="N619" s="180">
        <f>"Full Papers due:  2020/06/30 (extended from 06/15)"</f>
        <v>0</v>
      </c>
      <c r="O619" s="359" t="s">
        <v>778</v>
      </c>
      <c r="P619" s="183">
        <f>"http://www.vtsociety.org/"</f>
        <v>0</v>
      </c>
      <c r="Q619" s="360" t="s">
        <v>54</v>
      </c>
      <c r="R619" s="254" t="s">
        <v>55</v>
      </c>
      <c r="S619" s="85"/>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row>
    <row r="620" spans="1:64" s="86" customFormat="1" ht="66" customHeight="1">
      <c r="A620" s="129" t="s">
        <v>1880</v>
      </c>
      <c r="B620" s="88" t="s">
        <v>1881</v>
      </c>
      <c r="C620" s="89">
        <f>"https://events.vtsociety.org/vppc2020/"</f>
        <v>0</v>
      </c>
      <c r="D620" s="90" t="s">
        <v>1882</v>
      </c>
      <c r="E620" s="91" t="s">
        <v>1883</v>
      </c>
      <c r="F620" s="90" t="s">
        <v>1884</v>
      </c>
      <c r="G620" s="104" t="s">
        <v>1885</v>
      </c>
      <c r="H620" s="365"/>
      <c r="I620" s="106"/>
      <c r="J620" s="202"/>
      <c r="K620" s="134"/>
      <c r="L620" s="159">
        <f>"https://vppc2020.trackchair.com/"</f>
        <v>0</v>
      </c>
      <c r="M620" s="110"/>
      <c r="N620" s="146" t="s">
        <v>1886</v>
      </c>
      <c r="O620" s="513" t="s">
        <v>778</v>
      </c>
      <c r="P620" s="90" t="s">
        <v>779</v>
      </c>
      <c r="Q620" s="360" t="s">
        <v>54</v>
      </c>
      <c r="R620" s="254" t="s">
        <v>55</v>
      </c>
      <c r="S620" s="85"/>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row>
    <row r="621" spans="1:64" s="86" customFormat="1" ht="49.5" customHeight="1">
      <c r="A621" s="129"/>
      <c r="B621" s="88"/>
      <c r="C621" s="89"/>
      <c r="D621" s="90"/>
      <c r="E621" s="90"/>
      <c r="F621" s="90"/>
      <c r="G621" s="104"/>
      <c r="H621" s="365"/>
      <c r="I621" s="106"/>
      <c r="J621" s="202"/>
      <c r="K621" s="134"/>
      <c r="L621" s="159">
        <f>"Special Session Proposals:  https://events.vtsociety.org/vppc2020/conference-sessions/call-for-specialsessions/"</f>
        <v>0</v>
      </c>
      <c r="M621" s="97"/>
      <c r="N621" s="97" t="s">
        <v>1887</v>
      </c>
      <c r="O621" s="513"/>
      <c r="P621" s="90"/>
      <c r="Q621" s="360"/>
      <c r="R621" s="254"/>
      <c r="S621" s="85"/>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row>
    <row r="622" spans="1:64" s="86" customFormat="1" ht="39" customHeight="1">
      <c r="A622" s="129"/>
      <c r="B622" s="88"/>
      <c r="C622" s="89"/>
      <c r="D622" s="90"/>
      <c r="E622" s="90"/>
      <c r="F622" s="90"/>
      <c r="G622" s="104"/>
      <c r="H622" s="365"/>
      <c r="I622" s="106"/>
      <c r="J622" s="202"/>
      <c r="K622" s="134"/>
      <c r="L622" s="159">
        <f>"Tutorial proposals:  https://events.vtsociety.org/vppc2020/conference-sessions/call-for-tutorials/"</f>
        <v>0</v>
      </c>
      <c r="M622" s="110"/>
      <c r="N622" s="97" t="s">
        <v>1888</v>
      </c>
      <c r="O622" s="513"/>
      <c r="P622" s="90"/>
      <c r="Q622" s="360"/>
      <c r="R622" s="254"/>
      <c r="S622" s="85"/>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row>
    <row r="623" spans="1:64" s="86" customFormat="1" ht="57" customHeight="1">
      <c r="A623" s="129"/>
      <c r="B623" s="88"/>
      <c r="C623" s="89"/>
      <c r="D623" s="90"/>
      <c r="E623" s="90"/>
      <c r="F623" s="90"/>
      <c r="G623" s="104"/>
      <c r="H623" s="365"/>
      <c r="I623" s="106"/>
      <c r="J623" s="202"/>
      <c r="K623" s="134"/>
      <c r="L623" s="159">
        <f>"Recent Results – Full Papers up to 6 pages.  Up to 2 addt’l pages at $100 apiece.  https://events.vtsociety.org/vppc2020/authors/call-for-recent-results-now-open/"</f>
        <v>0</v>
      </c>
      <c r="M623" s="110">
        <f>"https://vppc2020-rr.trackchair.com/"</f>
        <v>0</v>
      </c>
      <c r="N623" s="146" t="s">
        <v>1889</v>
      </c>
      <c r="O623" s="513"/>
      <c r="P623" s="90"/>
      <c r="Q623" s="360"/>
      <c r="R623" s="254"/>
      <c r="S623" s="85"/>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row>
    <row r="624" spans="1:64" ht="61.5" customHeight="1">
      <c r="A624" s="527" t="s">
        <v>550</v>
      </c>
      <c r="B624" s="528" t="s">
        <v>1890</v>
      </c>
      <c r="C624" s="529">
        <f>"https://www.sae.org/learn/content/c0626/"</f>
        <v>0</v>
      </c>
      <c r="D624" s="530" t="s">
        <v>552</v>
      </c>
      <c r="E624" s="531" t="s">
        <v>1891</v>
      </c>
      <c r="F624" s="530" t="s">
        <v>554</v>
      </c>
      <c r="G624" s="559" t="s">
        <v>555</v>
      </c>
      <c r="H624" s="533" t="s">
        <v>556</v>
      </c>
      <c r="I624" s="534" t="s">
        <v>1545</v>
      </c>
      <c r="J624" s="560"/>
      <c r="K624" s="536"/>
      <c r="L624" s="561" t="s">
        <v>484</v>
      </c>
      <c r="M624" s="562" t="s">
        <v>395</v>
      </c>
      <c r="N624" s="563"/>
      <c r="O624" s="564" t="s">
        <v>396</v>
      </c>
      <c r="P624" s="530" t="s">
        <v>397</v>
      </c>
      <c r="Q624" s="565" t="s">
        <v>54</v>
      </c>
      <c r="R624" s="542" t="s">
        <v>55</v>
      </c>
      <c r="S624" s="85"/>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row>
    <row r="625" spans="1:64" s="24" customFormat="1" ht="38.25" customHeight="1">
      <c r="A625" s="320" t="s">
        <v>514</v>
      </c>
      <c r="B625" s="321" t="s">
        <v>1481</v>
      </c>
      <c r="C625" s="322">
        <f>"https://icmim-ieee.org/index.html"</f>
        <v>0</v>
      </c>
      <c r="D625" s="323" t="s">
        <v>1482</v>
      </c>
      <c r="E625" s="324" t="s">
        <v>1892</v>
      </c>
      <c r="F625" s="323" t="s">
        <v>517</v>
      </c>
      <c r="G625" s="325">
        <f>"&amp;hellip; covers all key enabling technologies for intelligent mobility, &amp;hellip;"</f>
        <v>0</v>
      </c>
      <c r="H625" s="367" t="s">
        <v>1484</v>
      </c>
      <c r="I625" s="203"/>
      <c r="J625" s="323"/>
      <c r="K625" s="302">
        <f>"https://icmim-ieee.org/contact-us.html"</f>
        <v>0</v>
      </c>
      <c r="L625" s="481">
        <f>"https://icmim-ieee.org/author-information/paper-submission.html"</f>
        <v>0</v>
      </c>
      <c r="M625" s="463" t="s">
        <v>518</v>
      </c>
      <c r="N625" s="98" t="s">
        <v>89</v>
      </c>
      <c r="O625" s="203" t="s">
        <v>519</v>
      </c>
      <c r="P625" s="323" t="s">
        <v>520</v>
      </c>
      <c r="Q625" s="302" t="s">
        <v>54</v>
      </c>
      <c r="R625" s="333" t="s">
        <v>55</v>
      </c>
      <c r="S625" s="85"/>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row>
    <row r="626" spans="1:19" s="27" customFormat="1" ht="54" customHeight="1">
      <c r="A626" s="320"/>
      <c r="B626" s="321"/>
      <c r="C626" s="322"/>
      <c r="D626" s="323"/>
      <c r="E626" s="324"/>
      <c r="F626" s="323"/>
      <c r="G626" s="325"/>
      <c r="H626" s="326">
        <f>"registration:  https://konferenzen.jku.at/icmim2020/"</f>
        <v>0</v>
      </c>
      <c r="I626" s="203"/>
      <c r="J626" s="323"/>
      <c r="K626" s="302"/>
      <c r="L626" s="481">
        <f>"Technical Areas:  https://icmim-ieee.org/author-information/technical-areas.html"</f>
        <v>0</v>
      </c>
      <c r="M626" s="463">
        <f>"Author information:  https://icmim-ieee.org/author-information.html"</f>
        <v>0</v>
      </c>
      <c r="N626" s="98"/>
      <c r="O626" s="203" t="s">
        <v>521</v>
      </c>
      <c r="P626" s="323">
        <f>"https://www.mtt.org/"</f>
        <v>0</v>
      </c>
      <c r="Q626" s="302"/>
      <c r="R626" s="333"/>
      <c r="S626" s="85"/>
    </row>
    <row r="627" spans="1:64" s="86" customFormat="1" ht="30" customHeight="1">
      <c r="A627" s="320" t="s">
        <v>1893</v>
      </c>
      <c r="B627" s="321" t="s">
        <v>1894</v>
      </c>
      <c r="C627" s="322">
        <f>"http://www.icems2020.com/"</f>
        <v>0</v>
      </c>
      <c r="D627" s="323" t="s">
        <v>1895</v>
      </c>
      <c r="E627" s="556" t="s">
        <v>1896</v>
      </c>
      <c r="F627" s="323" t="s">
        <v>1897</v>
      </c>
      <c r="G627" s="325" t="s">
        <v>1898</v>
      </c>
      <c r="H627" s="326"/>
      <c r="I627" s="106"/>
      <c r="J627" s="133">
        <f>"vox: +81-3-6891-9354"</f>
        <v>0</v>
      </c>
      <c r="K627" s="134">
        <f>"mailto:secretary_icems2020@or.knt.jp.co"</f>
        <v>0</v>
      </c>
      <c r="L627" s="159">
        <f>"https://www.icems2020.com/img/icems2020papers.pdf"</f>
        <v>0</v>
      </c>
      <c r="M627" s="195">
        <f>"https://gakkai-web.net/knt/icems2020/"</f>
        <v>0</v>
      </c>
      <c r="N627" s="323" t="s">
        <v>1899</v>
      </c>
      <c r="O627" s="359" t="s">
        <v>1900</v>
      </c>
      <c r="P627" s="130">
        <f>"https://ias.ieee.org/"</f>
        <v>0</v>
      </c>
      <c r="Q627" s="360" t="s">
        <v>54</v>
      </c>
      <c r="R627" s="128" t="s">
        <v>55</v>
      </c>
      <c r="S627" s="460"/>
      <c r="T627" s="461"/>
      <c r="U627" s="461"/>
      <c r="V627" s="461"/>
      <c r="W627" s="461"/>
      <c r="X627" s="461"/>
      <c r="Y627" s="461"/>
      <c r="Z627" s="461"/>
      <c r="AA627" s="461"/>
      <c r="AB627" s="461"/>
      <c r="AC627" s="461"/>
      <c r="AD627" s="461"/>
      <c r="AE627" s="461"/>
      <c r="AF627" s="461"/>
      <c r="AG627" s="461"/>
      <c r="AH627" s="461"/>
      <c r="AI627" s="461"/>
      <c r="AJ627" s="461"/>
      <c r="AK627" s="461"/>
      <c r="AL627" s="461"/>
      <c r="AM627" s="461"/>
      <c r="AN627" s="461"/>
      <c r="AO627" s="461"/>
      <c r="AP627" s="461"/>
      <c r="AQ627" s="461"/>
      <c r="AR627" s="461"/>
      <c r="AS627" s="461"/>
      <c r="AT627" s="461"/>
      <c r="AU627" s="461"/>
      <c r="AV627" s="461"/>
      <c r="AW627" s="461"/>
      <c r="AX627" s="461"/>
      <c r="AY627" s="461"/>
      <c r="AZ627" s="461"/>
      <c r="BA627" s="461"/>
      <c r="BB627" s="461"/>
      <c r="BC627" s="461"/>
      <c r="BD627" s="461"/>
      <c r="BE627" s="461"/>
      <c r="BF627" s="461"/>
      <c r="BG627" s="461"/>
      <c r="BH627" s="461"/>
      <c r="BI627" s="461"/>
      <c r="BJ627" s="461"/>
      <c r="BK627" s="461"/>
      <c r="BL627" s="461"/>
    </row>
    <row r="628" spans="1:64" ht="30" customHeight="1">
      <c r="A628" s="320"/>
      <c r="B628" s="321"/>
      <c r="C628" s="322"/>
      <c r="D628" s="323"/>
      <c r="E628" s="556"/>
      <c r="F628" s="323"/>
      <c r="G628" s="325"/>
      <c r="H628" s="326"/>
      <c r="I628" s="106"/>
      <c r="J628" s="133">
        <f>"fax: +81-3-6891-9409"</f>
        <v>0</v>
      </c>
      <c r="K628" s="134"/>
      <c r="L628" s="159"/>
      <c r="M628" s="195"/>
      <c r="N628" s="323"/>
      <c r="O628" s="359"/>
      <c r="P628" s="130"/>
      <c r="Q628" s="360"/>
      <c r="R628" s="128"/>
      <c r="S628" s="460"/>
      <c r="T628" s="461"/>
      <c r="U628" s="461"/>
      <c r="V628" s="461"/>
      <c r="W628" s="461"/>
      <c r="X628" s="461"/>
      <c r="Y628" s="461"/>
      <c r="Z628" s="461"/>
      <c r="AA628" s="461"/>
      <c r="AB628" s="461"/>
      <c r="AC628" s="461"/>
      <c r="AD628" s="461"/>
      <c r="AE628" s="461"/>
      <c r="AF628" s="461"/>
      <c r="AG628" s="461"/>
      <c r="AH628" s="461"/>
      <c r="AI628" s="461"/>
      <c r="AJ628" s="461"/>
      <c r="AK628" s="461"/>
      <c r="AL628" s="461"/>
      <c r="AM628" s="461"/>
      <c r="AN628" s="461"/>
      <c r="AO628" s="461"/>
      <c r="AP628" s="461"/>
      <c r="AQ628" s="461"/>
      <c r="AR628" s="461"/>
      <c r="AS628" s="461"/>
      <c r="AT628" s="461"/>
      <c r="AU628" s="461"/>
      <c r="AV628" s="461"/>
      <c r="AW628" s="461"/>
      <c r="AX628" s="461"/>
      <c r="AY628" s="461"/>
      <c r="AZ628" s="461"/>
      <c r="BA628" s="461"/>
      <c r="BB628" s="461"/>
      <c r="BC628" s="461"/>
      <c r="BD628" s="461"/>
      <c r="BE628" s="461"/>
      <c r="BF628" s="461"/>
      <c r="BG628" s="461"/>
      <c r="BH628" s="461"/>
      <c r="BI628" s="461"/>
      <c r="BJ628" s="461"/>
      <c r="BK628" s="461"/>
      <c r="BL628" s="461"/>
    </row>
    <row r="629" spans="1:64" ht="47.25" customHeight="1">
      <c r="A629" s="320"/>
      <c r="B629" s="321"/>
      <c r="C629" s="322"/>
      <c r="D629" s="426" t="s">
        <v>1901</v>
      </c>
      <c r="E629" s="426"/>
      <c r="F629" s="426"/>
      <c r="G629" s="426"/>
      <c r="H629" s="566"/>
      <c r="I629" s="567"/>
      <c r="J629" s="477"/>
      <c r="K629" s="439"/>
      <c r="L629" s="441">
        <f>"Call for Special Session Papers:  http://www.icems2019.com/Home/Detail/30"</f>
        <v>0</v>
      </c>
      <c r="M629" s="422">
        <f>"Detailed instructions:  http://icems2019.dodoevent.com/Home/Menu/272"</f>
        <v>0</v>
      </c>
      <c r="N629" s="422" t="s">
        <v>1902</v>
      </c>
      <c r="O629" s="359"/>
      <c r="P629" s="130"/>
      <c r="Q629" s="360"/>
      <c r="R629" s="128"/>
      <c r="S629" s="460"/>
      <c r="T629" s="461"/>
      <c r="U629" s="461"/>
      <c r="V629" s="461"/>
      <c r="W629" s="461"/>
      <c r="X629" s="461"/>
      <c r="Y629" s="461"/>
      <c r="Z629" s="461"/>
      <c r="AA629" s="461"/>
      <c r="AB629" s="461"/>
      <c r="AC629" s="461"/>
      <c r="AD629" s="461"/>
      <c r="AE629" s="461"/>
      <c r="AF629" s="461"/>
      <c r="AG629" s="461"/>
      <c r="AH629" s="461"/>
      <c r="AI629" s="461"/>
      <c r="AJ629" s="461"/>
      <c r="AK629" s="461"/>
      <c r="AL629" s="461"/>
      <c r="AM629" s="461"/>
      <c r="AN629" s="461"/>
      <c r="AO629" s="461"/>
      <c r="AP629" s="461"/>
      <c r="AQ629" s="461"/>
      <c r="AR629" s="461"/>
      <c r="AS629" s="461"/>
      <c r="AT629" s="461"/>
      <c r="AU629" s="461"/>
      <c r="AV629" s="461"/>
      <c r="AW629" s="461"/>
      <c r="AX629" s="461"/>
      <c r="AY629" s="461"/>
      <c r="AZ629" s="461"/>
      <c r="BA629" s="461"/>
      <c r="BB629" s="461"/>
      <c r="BC629" s="461"/>
      <c r="BD629" s="461"/>
      <c r="BE629" s="461"/>
      <c r="BF629" s="461"/>
      <c r="BG629" s="461"/>
      <c r="BH629" s="461"/>
      <c r="BI629" s="461"/>
      <c r="BJ629" s="461"/>
      <c r="BK629" s="461"/>
      <c r="BL629" s="461"/>
    </row>
    <row r="630" spans="1:64" s="24" customFormat="1" ht="51.75" customHeight="1">
      <c r="A630" s="568" t="s">
        <v>1903</v>
      </c>
      <c r="B630" s="569" t="s">
        <v>1904</v>
      </c>
      <c r="C630" s="570">
        <f>"http://www.esars-itec.eu/"</f>
        <v>0</v>
      </c>
      <c r="D630" s="571" t="s">
        <v>1905</v>
      </c>
      <c r="E630" s="572" t="s">
        <v>1906</v>
      </c>
      <c r="F630" s="573" t="s">
        <v>1907</v>
      </c>
      <c r="G630" s="574" t="s">
        <v>1908</v>
      </c>
      <c r="H630" s="575"/>
      <c r="I630" s="576"/>
      <c r="J630" s="478" t="s">
        <v>1909</v>
      </c>
      <c r="K630" s="439">
        <f>"http://www.esars.info/wp/contacts/"</f>
        <v>0</v>
      </c>
      <c r="L630" s="225">
        <f>"http://www.esars.info/wp/call-for-paper2/"</f>
        <v>0</v>
      </c>
      <c r="M630" s="226"/>
      <c r="N630" s="442" t="s">
        <v>1910</v>
      </c>
      <c r="O630" s="577" t="s">
        <v>854</v>
      </c>
      <c r="P630" s="578">
        <f>"https://tec.ieee.org/conferences-workshops"</f>
        <v>0</v>
      </c>
      <c r="Q630" s="579" t="s">
        <v>54</v>
      </c>
      <c r="R630" s="580" t="s">
        <v>55</v>
      </c>
      <c r="S630" s="85"/>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row>
    <row r="631" spans="1:64" s="24" customFormat="1" ht="38.25" customHeight="1">
      <c r="A631" s="568"/>
      <c r="B631" s="568"/>
      <c r="C631" s="581">
        <f>"About page:  http://www.esars.info/wp/about/"</f>
        <v>0</v>
      </c>
      <c r="D631" s="571"/>
      <c r="E631" s="572"/>
      <c r="F631" s="573"/>
      <c r="G631" s="574"/>
      <c r="H631" s="575"/>
      <c r="I631" s="576"/>
      <c r="J631" s="478"/>
      <c r="K631" s="439">
        <f>"mailto:secretariat@esars.info"</f>
        <v>0</v>
      </c>
      <c r="L631" s="225"/>
      <c r="M631" s="226"/>
      <c r="N631" s="442"/>
      <c r="O631" s="577"/>
      <c r="P631" s="578"/>
      <c r="Q631" s="579"/>
      <c r="R631" s="580"/>
      <c r="S631" s="85"/>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row>
    <row r="632" spans="1:64" s="86" customFormat="1" ht="58.5" customHeight="1">
      <c r="A632" s="191" t="s">
        <v>961</v>
      </c>
      <c r="B632" s="191">
        <f>"acad06-20-11"</f>
        <v>0</v>
      </c>
      <c r="C632" s="192">
        <f>"https://www.sae.org/learn/content/acad06/"</f>
        <v>0</v>
      </c>
      <c r="D632" s="183" t="s">
        <v>1372</v>
      </c>
      <c r="E632" s="334" t="s">
        <v>1911</v>
      </c>
      <c r="F632" s="204" t="s">
        <v>963</v>
      </c>
      <c r="G632" s="196" t="s">
        <v>964</v>
      </c>
      <c r="H632" s="335" t="s">
        <v>965</v>
      </c>
      <c r="I632" s="106"/>
      <c r="J632" s="133"/>
      <c r="K632" s="108"/>
      <c r="L632" s="159" t="s">
        <v>1912</v>
      </c>
      <c r="M632" s="110" t="s">
        <v>967</v>
      </c>
      <c r="N632" s="582" t="s">
        <v>968</v>
      </c>
      <c r="O632" s="99" t="s">
        <v>396</v>
      </c>
      <c r="P632" s="183">
        <f>"https://www.sae.org/learn/professional-development"</f>
        <v>0</v>
      </c>
      <c r="Q632" s="187" t="s">
        <v>54</v>
      </c>
      <c r="R632" s="128" t="s">
        <v>55</v>
      </c>
      <c r="S632" s="85"/>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row>
    <row r="633" spans="1:64" ht="76.5" customHeight="1">
      <c r="A633" s="112" t="s">
        <v>1268</v>
      </c>
      <c r="B633" s="113" t="s">
        <v>1269</v>
      </c>
      <c r="C633" s="143">
        <f>"http://ismb17.org/"</f>
        <v>0</v>
      </c>
      <c r="D633" s="148" t="s">
        <v>1270</v>
      </c>
      <c r="E633" s="116" t="s">
        <v>1913</v>
      </c>
      <c r="F633" s="148" t="s">
        <v>1272</v>
      </c>
      <c r="G633" s="117" t="s">
        <v>891</v>
      </c>
      <c r="H633" s="217">
        <f>"Exhibitors:  http://ismb17.org/exhibition/"</f>
        <v>0</v>
      </c>
      <c r="I633" s="215"/>
      <c r="J633" s="275"/>
      <c r="K633" s="121"/>
      <c r="L633" s="352">
        <f>"http://ismb17.org/abstract-submission/"</f>
        <v>0</v>
      </c>
      <c r="M633" s="358">
        <f>"login:  https://www.easychair.org/conferences/?conf=ismb17"</f>
        <v>0</v>
      </c>
      <c r="N633" s="583" t="s">
        <v>1914</v>
      </c>
      <c r="O633" s="125" t="s">
        <v>252</v>
      </c>
      <c r="P633" s="148" t="s">
        <v>253</v>
      </c>
      <c r="Q633" s="126" t="s">
        <v>54</v>
      </c>
      <c r="R633" s="213" t="s">
        <v>55</v>
      </c>
      <c r="S633" s="85"/>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row>
    <row r="634" spans="1:64" s="86" customFormat="1" ht="73.5" customHeight="1">
      <c r="A634" s="87" t="s">
        <v>1915</v>
      </c>
      <c r="B634" s="88" t="s">
        <v>1916</v>
      </c>
      <c r="C634" s="89">
        <f>"https://register.gotowebinar.com/register/903695613657960716"</f>
        <v>0</v>
      </c>
      <c r="D634" s="183"/>
      <c r="E634" s="91" t="s">
        <v>1917</v>
      </c>
      <c r="F634" s="183" t="s">
        <v>1918</v>
      </c>
      <c r="G634" s="306">
        <f>"We&amp;rsquo;ll offer best practices on how to integrate suppliers as a seamless extension of your internal team."</f>
        <v>0</v>
      </c>
      <c r="H634" s="132" t="s">
        <v>1919</v>
      </c>
      <c r="I634" s="135"/>
      <c r="J634" s="202"/>
      <c r="K634" s="108"/>
      <c r="L634" s="199"/>
      <c r="M634" s="176"/>
      <c r="N634" s="181"/>
      <c r="O634" s="99" t="s">
        <v>145</v>
      </c>
      <c r="P634" s="183" t="s">
        <v>1353</v>
      </c>
      <c r="Q634" s="100" t="s">
        <v>54</v>
      </c>
      <c r="R634" s="128" t="s">
        <v>55</v>
      </c>
      <c r="S634" s="85"/>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row>
    <row r="635" spans="1:64" s="86" customFormat="1" ht="53.25" customHeight="1">
      <c r="A635" s="102">
        <f>"SAE Free Webinar:  Vehicle Electrification"</f>
        <v>0</v>
      </c>
      <c r="B635" s="88" t="s">
        <v>1920</v>
      </c>
      <c r="C635" s="89">
        <f>"https://event.webcasts.com/starthere.jsp?ei=1387756&amp;tp_key=4586d43fb4"</f>
        <v>0</v>
      </c>
      <c r="D635" s="130"/>
      <c r="E635" s="91" t="s">
        <v>1921</v>
      </c>
      <c r="F635" s="130" t="s">
        <v>1922</v>
      </c>
      <c r="G635" s="306">
        <f>"&amp;hellip; discusses the challenges and benefits of integrating multidisciplinary simulation to optimize the development of electrified vehicles."</f>
        <v>0</v>
      </c>
      <c r="H635" s="132">
        <f>"&lt;b&gt;Wulf&amp;nbsp;Roever&lt;/b&gt;, SIMULIA Dir., Techn. Sales NAM &amp;ndash; Multi&amp;#8209;Body Dynamics, Dassault Syst&amp;egrave;mes"</f>
        <v>0</v>
      </c>
      <c r="I635" s="301"/>
      <c r="J635" s="202"/>
      <c r="K635" s="108"/>
      <c r="L635" s="199"/>
      <c r="M635" s="130"/>
      <c r="N635" s="187"/>
      <c r="O635" s="99" t="s">
        <v>260</v>
      </c>
      <c r="P635" s="130" t="s">
        <v>1213</v>
      </c>
      <c r="Q635" s="100" t="s">
        <v>54</v>
      </c>
      <c r="R635" s="128" t="s">
        <v>55</v>
      </c>
      <c r="S635" s="85"/>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row>
    <row r="636" spans="1:64" s="86" customFormat="1" ht="42.75" customHeight="1">
      <c r="A636" s="102"/>
      <c r="B636" s="88"/>
      <c r="C636" s="89"/>
      <c r="D636" s="130"/>
      <c r="E636" s="91"/>
      <c r="F636" s="130"/>
      <c r="G636" s="306"/>
      <c r="H636" s="132">
        <f>"&lt;b&gt;Saurabh&amp;nbsp;Bahuguna&lt;/b&gt;, Dir. Techn. Sales, Dassault&amp;nbsp;Syst&amp;egrave;mes"</f>
        <v>0</v>
      </c>
      <c r="I636" s="301"/>
      <c r="J636" s="202"/>
      <c r="K636" s="108"/>
      <c r="L636" s="199"/>
      <c r="M636" s="130"/>
      <c r="N636" s="187"/>
      <c r="O636" s="99"/>
      <c r="P636" s="130"/>
      <c r="Q636" s="100"/>
      <c r="R636" s="128"/>
      <c r="S636" s="85"/>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row>
    <row r="637" spans="1:64" s="86" customFormat="1" ht="25.5" customHeight="1">
      <c r="A637" s="102"/>
      <c r="B637" s="88"/>
      <c r="C637" s="89"/>
      <c r="D637" s="130"/>
      <c r="E637" s="91"/>
      <c r="F637" s="130"/>
      <c r="G637" s="306"/>
      <c r="H637" s="132" t="s">
        <v>1214</v>
      </c>
      <c r="I637" s="301"/>
      <c r="J637" s="202"/>
      <c r="K637" s="108"/>
      <c r="L637" s="199"/>
      <c r="M637" s="130"/>
      <c r="N637" s="187"/>
      <c r="O637" s="99"/>
      <c r="P637" s="130"/>
      <c r="Q637" s="100"/>
      <c r="R637" s="128"/>
      <c r="S637" s="85"/>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row>
    <row r="638" spans="1:64" s="86" customFormat="1" ht="63" customHeight="1">
      <c r="A638" s="527" t="s">
        <v>1923</v>
      </c>
      <c r="B638" s="528" t="s">
        <v>1924</v>
      </c>
      <c r="C638" s="529">
        <f>"https://www.sae.org/learn/content/c0410/"</f>
        <v>0</v>
      </c>
      <c r="D638" s="530" t="s">
        <v>552</v>
      </c>
      <c r="E638" s="531" t="s">
        <v>1925</v>
      </c>
      <c r="F638" s="530" t="s">
        <v>1926</v>
      </c>
      <c r="G638" s="532" t="s">
        <v>1927</v>
      </c>
      <c r="H638" s="533">
        <f>"Instructor: Joseph Doyle"</f>
        <v>0</v>
      </c>
      <c r="I638" s="534"/>
      <c r="J638" s="535"/>
      <c r="K638" s="536"/>
      <c r="L638" s="537" t="s">
        <v>1546</v>
      </c>
      <c r="M638" s="538" t="s">
        <v>395</v>
      </c>
      <c r="N638" s="539"/>
      <c r="O638" s="540" t="s">
        <v>396</v>
      </c>
      <c r="P638" s="530" t="s">
        <v>397</v>
      </c>
      <c r="Q638" s="541" t="s">
        <v>54</v>
      </c>
      <c r="R638" s="542" t="s">
        <v>55</v>
      </c>
      <c r="S638" s="85"/>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row>
    <row r="639" spans="1:64" s="86" customFormat="1" ht="100.5" customHeight="1">
      <c r="A639" s="191" t="s">
        <v>674</v>
      </c>
      <c r="B639" s="191" t="s">
        <v>1928</v>
      </c>
      <c r="C639" s="192">
        <f>"https://www.sae.org/learn/content/c1603/"</f>
        <v>0</v>
      </c>
      <c r="D639" s="192" t="s">
        <v>1929</v>
      </c>
      <c r="E639" s="334" t="s">
        <v>1925</v>
      </c>
      <c r="F639" s="183" t="s">
        <v>455</v>
      </c>
      <c r="G639" s="196" t="s">
        <v>678</v>
      </c>
      <c r="H639" s="335" t="s">
        <v>457</v>
      </c>
      <c r="I639" s="106"/>
      <c r="J639" s="133"/>
      <c r="K639" s="108"/>
      <c r="L639" s="145" t="s">
        <v>1743</v>
      </c>
      <c r="M639" s="173" t="s">
        <v>395</v>
      </c>
      <c r="N639" s="336"/>
      <c r="O639" s="359" t="s">
        <v>396</v>
      </c>
      <c r="P639" s="183" t="s">
        <v>397</v>
      </c>
      <c r="Q639" s="360" t="s">
        <v>54</v>
      </c>
      <c r="R639" s="128" t="s">
        <v>55</v>
      </c>
      <c r="S639" s="85"/>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row>
    <row r="640" spans="1:64" s="86" customFormat="1" ht="81" customHeight="1">
      <c r="A640" s="584">
        <f>"Free Conference:  ADAS to Automated Driving Digital Summit"</f>
        <v>0</v>
      </c>
      <c r="B640" s="584" t="s">
        <v>1930</v>
      </c>
      <c r="C640" s="192">
        <f>"https://www.sae.org/attend/adas/"</f>
        <v>0</v>
      </c>
      <c r="D640" s="192" t="s">
        <v>603</v>
      </c>
      <c r="E640" s="334" t="s">
        <v>1931</v>
      </c>
      <c r="F640" s="183" t="s">
        <v>1932</v>
      </c>
      <c r="G640" s="196">
        <f>"&amp;hellip; will help vet industry needs and solutions that are affordable for consumers and profitable for car makers."</f>
        <v>0</v>
      </c>
      <c r="H640" s="335"/>
      <c r="I640" s="106"/>
      <c r="J640" s="133"/>
      <c r="K640" s="108"/>
      <c r="L640" s="145">
        <f>"https://www.sae.org/attend/adas/registration"</f>
        <v>0</v>
      </c>
      <c r="M640" s="173"/>
      <c r="N640" s="336"/>
      <c r="O640" s="359" t="s">
        <v>83</v>
      </c>
      <c r="P640" s="183">
        <f>"https://www.sae.org/attend/"</f>
        <v>0</v>
      </c>
      <c r="Q640" s="360" t="s">
        <v>54</v>
      </c>
      <c r="R640" s="128" t="s">
        <v>55</v>
      </c>
      <c r="S640" s="85"/>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row>
    <row r="641" spans="1:64" s="86" customFormat="1" ht="46.5" customHeight="1">
      <c r="A641" s="87" t="s">
        <v>637</v>
      </c>
      <c r="B641" s="130" t="s">
        <v>638</v>
      </c>
      <c r="C641" s="89">
        <f>"http://www.ievexpo.org/eng/"</f>
        <v>0</v>
      </c>
      <c r="D641" s="130" t="s">
        <v>639</v>
      </c>
      <c r="E641" s="585" t="s">
        <v>1933</v>
      </c>
      <c r="F641" s="130" t="s">
        <v>641</v>
      </c>
      <c r="G641" s="306" t="s">
        <v>642</v>
      </c>
      <c r="H641" s="132"/>
      <c r="I641" s="106"/>
      <c r="J641" s="107" t="s">
        <v>644</v>
      </c>
      <c r="K641" s="134">
        <f>"mailto:ieve@ievexpo.org"</f>
        <v>0</v>
      </c>
      <c r="L641" s="159">
        <f>"Conference schedule:  http://www.ievexpo.org/site/ieve2018/eng/contents/index.php?mid=0401"</f>
        <v>0</v>
      </c>
      <c r="M641" s="110"/>
      <c r="N641" s="110"/>
      <c r="O641" s="99"/>
      <c r="P641" s="130"/>
      <c r="Q641" s="100" t="s">
        <v>54</v>
      </c>
      <c r="R641" s="128" t="s">
        <v>55</v>
      </c>
      <c r="S641" s="85"/>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row>
    <row r="642" spans="1:64" s="86" customFormat="1" ht="57" customHeight="1">
      <c r="A642" s="87"/>
      <c r="B642" s="130"/>
      <c r="C642" s="89"/>
      <c r="D642" s="130"/>
      <c r="E642" s="585"/>
      <c r="F642" s="130"/>
      <c r="G642" s="306"/>
      <c r="H642" s="132"/>
      <c r="I642" s="106"/>
      <c r="J642" s="107" t="s">
        <v>645</v>
      </c>
      <c r="K642" s="134"/>
      <c r="L642" s="159"/>
      <c r="M642" s="110"/>
      <c r="N642" s="110"/>
      <c r="O642" s="99"/>
      <c r="P642" s="130"/>
      <c r="Q642" s="100"/>
      <c r="R642" s="128"/>
      <c r="S642" s="85"/>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row>
    <row r="643" spans="1:64" ht="60.75" customHeight="1">
      <c r="A643" s="389" t="s">
        <v>952</v>
      </c>
      <c r="B643" s="390" t="s">
        <v>1934</v>
      </c>
      <c r="C643" s="391">
        <f>"https://www.sae.org/learn/content/c1893/"</f>
        <v>0</v>
      </c>
      <c r="D643" s="282" t="s">
        <v>1837</v>
      </c>
      <c r="E643" s="283" t="s">
        <v>1935</v>
      </c>
      <c r="F643" s="282" t="s">
        <v>455</v>
      </c>
      <c r="G643" s="392" t="s">
        <v>955</v>
      </c>
      <c r="H643" s="393" t="s">
        <v>457</v>
      </c>
      <c r="I643" s="394" t="s">
        <v>1545</v>
      </c>
      <c r="J643" s="342"/>
      <c r="K643" s="233"/>
      <c r="L643" s="288" t="s">
        <v>1562</v>
      </c>
      <c r="M643" s="234" t="s">
        <v>459</v>
      </c>
      <c r="N643" s="277"/>
      <c r="O643" s="125" t="s">
        <v>396</v>
      </c>
      <c r="P643" s="148">
        <f>"https://www.sae.org/learn/professional-development"</f>
        <v>0</v>
      </c>
      <c r="Q643" s="248" t="s">
        <v>54</v>
      </c>
      <c r="R643" s="213" t="s">
        <v>55</v>
      </c>
      <c r="S643" s="85"/>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row>
    <row r="644" spans="1:64" s="86" customFormat="1" ht="26.25" customHeight="1">
      <c r="A644" s="586" t="s">
        <v>1936</v>
      </c>
      <c r="B644" s="587" t="s">
        <v>1937</v>
      </c>
      <c r="C644" s="588">
        <f>"https://tec.ieee.org/education/webinars/"</f>
        <v>0</v>
      </c>
      <c r="D644" s="408"/>
      <c r="E644" s="589" t="s">
        <v>1938</v>
      </c>
      <c r="F644" s="408" t="s">
        <v>1939</v>
      </c>
      <c r="G644" s="590">
        <f>"This webinar will address the issues associated with current [lithium-ion] battery monitoring systems &amp;hellip;"</f>
        <v>0</v>
      </c>
      <c r="H644" s="591">
        <f>"&lt;b&gt;Bharat&amp;nbsp;Balagopal&lt;/b&gt;, "</f>
        <v>0</v>
      </c>
      <c r="I644" s="592"/>
      <c r="J644" s="593"/>
      <c r="K644" s="594"/>
      <c r="L644" s="595">
        <f>"registration:  https://register.gotowebinar.com/register/2242644591223550988"</f>
        <v>0</v>
      </c>
      <c r="M644" s="293"/>
      <c r="N644" s="294"/>
      <c r="O644" s="352">
        <f>"IEEE Transportation Electrification Webinars"</f>
        <v>0</v>
      </c>
      <c r="P644" s="357">
        <f>"https://tec.ieee.org/education/webinars/"</f>
        <v>0</v>
      </c>
      <c r="Q644" s="596" t="s">
        <v>54</v>
      </c>
      <c r="R644" s="597" t="s">
        <v>55</v>
      </c>
      <c r="S644" s="85"/>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row>
    <row r="645" spans="1:64" s="86" customFormat="1" ht="37.5" customHeight="1">
      <c r="A645" s="586"/>
      <c r="B645" s="587"/>
      <c r="C645" s="588"/>
      <c r="D645" s="408"/>
      <c r="E645" s="589"/>
      <c r="F645" s="589"/>
      <c r="G645" s="590"/>
      <c r="H645" s="591">
        <f>"&lt;b&gt;Mo&amp;#8209;Yuen&amp;nbsp;Chow.png&lt;/b&gt;, both of NC State University"</f>
        <v>0</v>
      </c>
      <c r="I645" s="592"/>
      <c r="J645" s="593"/>
      <c r="K645" s="594"/>
      <c r="L645" s="595"/>
      <c r="M645" s="293"/>
      <c r="N645" s="294"/>
      <c r="O645" s="352"/>
      <c r="P645" s="357"/>
      <c r="Q645" s="596"/>
      <c r="R645" s="597"/>
      <c r="S645" s="85"/>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row>
    <row r="646" spans="1:64" s="86" customFormat="1" ht="73.5" customHeight="1">
      <c r="A646" s="598" t="s">
        <v>1940</v>
      </c>
      <c r="B646" s="599" t="s">
        <v>1941</v>
      </c>
      <c r="C646" s="600">
        <f>"https://register.gotowebinar.com/register/2057503324475888140"</f>
        <v>0</v>
      </c>
      <c r="D646" s="353"/>
      <c r="E646" s="601" t="s">
        <v>1942</v>
      </c>
      <c r="F646" s="353" t="s">
        <v>1943</v>
      </c>
      <c r="G646" s="602">
        <f>"To ensure a reliable design and operation of [Energy storage] systems, a system management including battery management and thermal management is indispensable."</f>
        <v>0</v>
      </c>
      <c r="H646" s="603" t="s">
        <v>1944</v>
      </c>
      <c r="I646" s="604"/>
      <c r="J646" s="605"/>
      <c r="K646" s="594"/>
      <c r="L646" s="352" t="s">
        <v>831</v>
      </c>
      <c r="M646" s="358"/>
      <c r="N646" s="583"/>
      <c r="O646" s="606" t="s">
        <v>145</v>
      </c>
      <c r="P646" s="353" t="s">
        <v>1353</v>
      </c>
      <c r="Q646" s="607" t="s">
        <v>54</v>
      </c>
      <c r="R646" s="597" t="s">
        <v>55</v>
      </c>
      <c r="S646" s="85"/>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row>
    <row r="647" spans="1:64" s="86" customFormat="1" ht="35.25" customHeight="1">
      <c r="A647" s="608">
        <f>"SAE Free Webinar:  Next-Gen Vehicle Architectures and the Role of HPCs (High-Performance Computers)"</f>
        <v>0</v>
      </c>
      <c r="B647" s="599" t="s">
        <v>1945</v>
      </c>
      <c r="C647" s="600">
        <f>"https://event.webcasts.com/starthere.jsp?ei=1400770&amp;tp_key=06a18eb5fd"</f>
        <v>0</v>
      </c>
      <c r="D647" s="353"/>
      <c r="E647" s="601" t="s">
        <v>1946</v>
      </c>
      <c r="F647" s="353" t="s">
        <v>1947</v>
      </c>
      <c r="G647" s="602">
        <f>"&amp;hellip; examines infrastructure integration and what&amp;rsquo;s needed to develop secure, stable, and upgradable software stacks for next-generation HPCs."</f>
        <v>0</v>
      </c>
      <c r="H647" s="603">
        <f>"&lt;b&gt;Sebastian&amp;nbsp;Ohl&lt;/b&gt;, Ph.D., Sr. Prod. Mgr., Elektrobit"</f>
        <v>0</v>
      </c>
      <c r="I647" s="604"/>
      <c r="J647" s="605"/>
      <c r="K647" s="594"/>
      <c r="L647" s="609"/>
      <c r="M647" s="353"/>
      <c r="N647" s="596"/>
      <c r="O647" s="606" t="s">
        <v>260</v>
      </c>
      <c r="P647" s="353" t="s">
        <v>1213</v>
      </c>
      <c r="Q647" s="607" t="s">
        <v>54</v>
      </c>
      <c r="R647" s="597" t="s">
        <v>55</v>
      </c>
      <c r="S647" s="85"/>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row>
    <row r="648" spans="1:64" s="86" customFormat="1" ht="30.75" customHeight="1">
      <c r="A648" s="608"/>
      <c r="B648" s="599"/>
      <c r="C648" s="600"/>
      <c r="D648" s="353"/>
      <c r="E648" s="601"/>
      <c r="F648" s="353"/>
      <c r="G648" s="602"/>
      <c r="H648" s="603">
        <f>"&lt;b&gt;Christopher&amp;nbsp;Thibeault&lt;/b&gt;, Dir., Partner Mgmnt. Americas, Elektrobit"</f>
        <v>0</v>
      </c>
      <c r="I648" s="604"/>
      <c r="J648" s="605"/>
      <c r="K648" s="594"/>
      <c r="L648" s="609"/>
      <c r="M648" s="353"/>
      <c r="N648" s="596"/>
      <c r="O648" s="606"/>
      <c r="P648" s="353"/>
      <c r="Q648" s="607"/>
      <c r="R648" s="597"/>
      <c r="S648" s="85"/>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row>
    <row r="649" spans="1:64" s="86" customFormat="1" ht="25.5" customHeight="1">
      <c r="A649" s="608"/>
      <c r="B649" s="599"/>
      <c r="C649" s="600"/>
      <c r="D649" s="353"/>
      <c r="E649" s="601"/>
      <c r="F649" s="353"/>
      <c r="G649" s="602"/>
      <c r="H649" s="603" t="s">
        <v>1214</v>
      </c>
      <c r="I649" s="604"/>
      <c r="J649" s="605"/>
      <c r="K649" s="594"/>
      <c r="L649" s="609"/>
      <c r="M649" s="353"/>
      <c r="N649" s="596"/>
      <c r="O649" s="606"/>
      <c r="P649" s="353"/>
      <c r="Q649" s="607"/>
      <c r="R649" s="597"/>
      <c r="S649" s="85"/>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row>
    <row r="650" spans="1:64" ht="62.25" customHeight="1">
      <c r="A650" s="112" t="s">
        <v>502</v>
      </c>
      <c r="B650" s="113" t="s">
        <v>1948</v>
      </c>
      <c r="C650" s="143">
        <f>"https://www.sae.org/learn/content/c1627/"</f>
        <v>0</v>
      </c>
      <c r="D650" s="115" t="s">
        <v>1837</v>
      </c>
      <c r="E650" s="239" t="s">
        <v>1949</v>
      </c>
      <c r="F650" s="115" t="s">
        <v>504</v>
      </c>
      <c r="G650" s="117" t="s">
        <v>505</v>
      </c>
      <c r="H650" s="217" t="s">
        <v>506</v>
      </c>
      <c r="I650" s="119"/>
      <c r="J650" s="256"/>
      <c r="K650" s="121"/>
      <c r="L650" s="154" t="s">
        <v>1950</v>
      </c>
      <c r="M650" s="234" t="s">
        <v>395</v>
      </c>
      <c r="N650" s="235"/>
      <c r="O650" s="125" t="s">
        <v>396</v>
      </c>
      <c r="P650" s="115" t="s">
        <v>397</v>
      </c>
      <c r="Q650" s="126" t="s">
        <v>54</v>
      </c>
      <c r="R650" s="213" t="s">
        <v>55</v>
      </c>
      <c r="S650" s="85"/>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row>
    <row r="651" spans="1:64" s="86" customFormat="1" ht="52.5" customHeight="1">
      <c r="A651" s="129">
        <f>"Free Webinar:  The path to autonomous driving"</f>
        <v>0</v>
      </c>
      <c r="B651" s="88" t="s">
        <v>1951</v>
      </c>
      <c r="C651" s="89">
        <f>"https://www.intertraffic.com/webinars/"</f>
        <v>0</v>
      </c>
      <c r="D651" s="90"/>
      <c r="E651" s="91" t="s">
        <v>1952</v>
      </c>
      <c r="F651" s="90" t="s">
        <v>1953</v>
      </c>
      <c r="G651" s="104">
        <f>"Everybody talks about it: autonomous driving.&amp;nbsp; How far are we really?"</f>
        <v>0</v>
      </c>
      <c r="H651" s="132">
        <f>"Moderated by:  &lt;b&gt;Carlo&amp;nbsp;van&amp;nbsp;de &amp;nbsp;Weijer&lt;/b&gt;, Gen&amp;rsquo;l Mgr, Eindhoven AI Syst. Inst."</f>
        <v>0</v>
      </c>
      <c r="I651" s="106"/>
      <c r="J651" s="202"/>
      <c r="K651" s="307"/>
      <c r="L651" s="96">
        <f>"registration:  https://registration.gesevent.com/survey/104donuhsa2yx"</f>
        <v>0</v>
      </c>
      <c r="M651" s="109"/>
      <c r="N651" s="303"/>
      <c r="O651" s="99" t="s">
        <v>1296</v>
      </c>
      <c r="P651" s="90">
        <f>"https://www.intertraffic.com/webinars/"</f>
        <v>0</v>
      </c>
      <c r="Q651" s="100" t="s">
        <v>54</v>
      </c>
      <c r="R651" s="128" t="s">
        <v>55</v>
      </c>
      <c r="S651" s="85"/>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row>
    <row r="652" spans="1:64" s="86" customFormat="1" ht="24.75" customHeight="1">
      <c r="A652" s="129"/>
      <c r="B652" s="88"/>
      <c r="C652" s="89"/>
      <c r="D652" s="90"/>
      <c r="E652" s="90"/>
      <c r="F652" s="90"/>
      <c r="G652" s="104"/>
      <c r="H652" s="132">
        <f>"&lt;b&gt;Marieke&amp;nbsp;Martens&lt;/b&gt;, Eindhoven Univ."</f>
        <v>0</v>
      </c>
      <c r="I652" s="106"/>
      <c r="J652" s="202"/>
      <c r="K652" s="307"/>
      <c r="L652" s="96"/>
      <c r="M652" s="109"/>
      <c r="N652" s="303"/>
      <c r="O652" s="99"/>
      <c r="P652" s="90"/>
      <c r="Q652" s="100"/>
      <c r="R652" s="128"/>
      <c r="S652" s="85"/>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row>
    <row r="653" spans="1:64" s="86" customFormat="1" ht="24.75" customHeight="1">
      <c r="A653" s="129"/>
      <c r="B653" s="88"/>
      <c r="C653" s="89"/>
      <c r="D653" s="90"/>
      <c r="E653" s="90"/>
      <c r="F653" s="90"/>
      <c r="G653" s="104"/>
      <c r="H653" s="132">
        <f>"&lt;b&gt;Richard&amp;nbsp;Bishop&lt;/b&gt;, Bishop Consulting"</f>
        <v>0</v>
      </c>
      <c r="I653" s="106"/>
      <c r="J653" s="202"/>
      <c r="K653" s="307"/>
      <c r="L653" s="96"/>
      <c r="M653" s="109"/>
      <c r="N653" s="303"/>
      <c r="O653" s="99"/>
      <c r="P653" s="90"/>
      <c r="Q653" s="100"/>
      <c r="R653" s="128"/>
      <c r="S653" s="85"/>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row>
    <row r="654" spans="1:64" s="86" customFormat="1" ht="18.75" customHeight="1">
      <c r="A654" s="129"/>
      <c r="B654" s="88"/>
      <c r="C654" s="89"/>
      <c r="D654" s="90"/>
      <c r="E654" s="90"/>
      <c r="F654" s="90"/>
      <c r="G654" s="104"/>
      <c r="H654" s="132">
        <f>"&lt;b&gt;Rik&amp;nbsp;Nuyttens&lt;/b&gt;, 3M"</f>
        <v>0</v>
      </c>
      <c r="I654" s="106"/>
      <c r="J654" s="202"/>
      <c r="K654" s="307"/>
      <c r="L654" s="96"/>
      <c r="M654" s="109"/>
      <c r="N654" s="303"/>
      <c r="O654" s="99"/>
      <c r="P654" s="90"/>
      <c r="Q654" s="100"/>
      <c r="R654" s="128"/>
      <c r="S654" s="85"/>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row>
    <row r="655" spans="1:64" ht="72.75" customHeight="1">
      <c r="A655" s="87" t="s">
        <v>1954</v>
      </c>
      <c r="B655" s="88" t="s">
        <v>981</v>
      </c>
      <c r="C655" s="89">
        <f>"https://www.evsummit.biz/"</f>
        <v>0</v>
      </c>
      <c r="D655" s="183" t="s">
        <v>1955</v>
      </c>
      <c r="E655" s="91" t="s">
        <v>1956</v>
      </c>
      <c r="F655" s="183" t="s">
        <v>984</v>
      </c>
      <c r="G655" s="104" t="s">
        <v>985</v>
      </c>
      <c r="H655" s="417"/>
      <c r="I655" s="567"/>
      <c r="J655" s="477">
        <f>"+353 (0) 1 241 1520"</f>
        <v>0</v>
      </c>
      <c r="K655" s="108">
        <f>"https://www.evsummit.biz/contact"</f>
        <v>0</v>
      </c>
      <c r="L655" s="212">
        <f>"Tickets:  https://www.eventbrite.co.uk/e/the-ev-summit-2020-tickets-75825136023"</f>
        <v>0</v>
      </c>
      <c r="M655" s="110">
        <f>"EV Summnit Online Series:  https://www.evsummit.biz/ev-summit-online-series"</f>
        <v>0</v>
      </c>
      <c r="N655" s="439"/>
      <c r="O655" s="610" t="s">
        <v>187</v>
      </c>
      <c r="P655" s="422">
        <f>"http://avere.org/"</f>
        <v>0</v>
      </c>
      <c r="Q655" s="442" t="s">
        <v>54</v>
      </c>
      <c r="R655" s="611" t="s">
        <v>55</v>
      </c>
      <c r="S655" s="85"/>
      <c r="T655" s="86"/>
      <c r="U655" s="86"/>
      <c r="V655" s="86"/>
      <c r="W655" s="86"/>
      <c r="X655" s="86"/>
      <c r="Y655" s="86"/>
      <c r="Z655" s="86"/>
      <c r="AA655" s="86"/>
      <c r="AB655" s="86"/>
      <c r="AC655" s="86"/>
      <c r="AD655" s="86"/>
      <c r="AE655" s="86"/>
      <c r="AF655" s="86"/>
      <c r="AG655" s="86"/>
      <c r="AH655" s="86"/>
      <c r="AI655" s="86"/>
      <c r="AJ655" s="86"/>
      <c r="AK655" s="86"/>
      <c r="AL655" s="86"/>
      <c r="AM655" s="86"/>
      <c r="AN655" s="86"/>
      <c r="AO655" s="86"/>
      <c r="AP655" s="86"/>
      <c r="AQ655" s="86"/>
      <c r="AR655" s="86"/>
      <c r="AS655" s="86"/>
      <c r="AT655" s="86"/>
      <c r="AU655" s="86"/>
      <c r="AV655" s="86"/>
      <c r="AW655" s="86"/>
      <c r="AX655" s="86"/>
      <c r="AY655" s="86"/>
      <c r="AZ655" s="86"/>
      <c r="BA655" s="86"/>
      <c r="BB655" s="86"/>
      <c r="BC655" s="86"/>
      <c r="BD655" s="86"/>
      <c r="BE655" s="86"/>
      <c r="BF655" s="86"/>
      <c r="BG655" s="86"/>
      <c r="BH655" s="86"/>
      <c r="BI655" s="86"/>
      <c r="BJ655" s="86"/>
      <c r="BK655" s="86"/>
      <c r="BL655" s="86"/>
    </row>
    <row r="656" spans="1:19" s="86" customFormat="1" ht="26.25" customHeight="1">
      <c r="A656" s="129">
        <f>"Future Driven:  Webinar series:  Auto Industry Landscape"</f>
        <v>0</v>
      </c>
      <c r="B656" s="88" t="s">
        <v>1957</v>
      </c>
      <c r="C656" s="89">
        <f>"https://web.cvent.com/event/70d18823-471b-4055-bb19-553270d23647/summary"</f>
        <v>0</v>
      </c>
      <c r="D656" s="130"/>
      <c r="E656" s="91" t="s">
        <v>1958</v>
      </c>
      <c r="F656" s="130" t="s">
        <v>1959</v>
      </c>
      <c r="G656" s="160">
        <f>"&amp;hellip; Join &amp;hellip; thought leaders for insights into what&amp;rsquo;s ahead for the sector in the wake of 2020&amp;rsquo;s election."</f>
        <v>0</v>
      </c>
      <c r="H656" s="132">
        <f>"&lt;b&gt;Mark&amp;nbsp;Reuss&lt;/b&gt;, General Motors"</f>
        <v>0</v>
      </c>
      <c r="I656" s="106"/>
      <c r="J656" s="198"/>
      <c r="K656" s="108"/>
      <c r="L656" s="96">
        <f>"Registration:  https://web.cvent.com/event/70d18823-471b-4055-bb19-553270d23647/regProcessStep1"</f>
        <v>0</v>
      </c>
      <c r="M656" s="110"/>
      <c r="N656" s="108"/>
      <c r="O656" s="203" t="s">
        <v>1960</v>
      </c>
      <c r="P656" s="195" t="s">
        <v>1961</v>
      </c>
      <c r="Q656" s="146" t="s">
        <v>54</v>
      </c>
      <c r="R656" s="128" t="s">
        <v>55</v>
      </c>
      <c r="S656" s="85"/>
    </row>
    <row r="657" spans="1:19" s="86" customFormat="1" ht="26.25" customHeight="1">
      <c r="A657" s="129"/>
      <c r="B657" s="88"/>
      <c r="C657" s="89"/>
      <c r="D657" s="130"/>
      <c r="E657" s="91"/>
      <c r="F657" s="130"/>
      <c r="G657" s="160"/>
      <c r="H657" s="132">
        <f>"&lt;b&gt;Chris&amp;nbsp;Reynolds&lt;/b&gt;, Toyota Motor, NA"</f>
        <v>0</v>
      </c>
      <c r="I657" s="106"/>
      <c r="J657" s="198"/>
      <c r="K657" s="108"/>
      <c r="L657" s="96"/>
      <c r="M657" s="110"/>
      <c r="N657" s="108"/>
      <c r="O657" s="203"/>
      <c r="P657" s="195"/>
      <c r="Q657" s="146"/>
      <c r="R657" s="128"/>
      <c r="S657" s="85"/>
    </row>
    <row r="658" spans="1:19" s="86" customFormat="1" ht="26.25" customHeight="1">
      <c r="A658" s="129"/>
      <c r="B658" s="88"/>
      <c r="C658" s="89"/>
      <c r="D658" s="130"/>
      <c r="E658" s="91"/>
      <c r="F658" s="130"/>
      <c r="G658" s="160"/>
      <c r="H658" s="132">
        <f>"&lt;b&gt;John&amp;nbsp;Bozzella&lt;/b&gt;, Alliance for Autom. Innov."</f>
        <v>0</v>
      </c>
      <c r="I658" s="106"/>
      <c r="J658" s="198"/>
      <c r="K658" s="108"/>
      <c r="L658" s="96"/>
      <c r="M658" s="110"/>
      <c r="N658" s="108"/>
      <c r="O658" s="203"/>
      <c r="P658" s="195"/>
      <c r="Q658" s="146"/>
      <c r="R658" s="128"/>
      <c r="S658" s="85"/>
    </row>
    <row r="659" spans="1:19" s="86" customFormat="1" ht="26.25" customHeight="1">
      <c r="A659" s="129"/>
      <c r="B659" s="88"/>
      <c r="C659" s="89"/>
      <c r="D659" s="130"/>
      <c r="E659" s="91"/>
      <c r="F659" s="130"/>
      <c r="G659" s="160"/>
      <c r="H659" s="132">
        <f>"&lt;b&gt;Carla&amp;nbsp;Bailo&lt;/b&gt;, Ctr. for Autom. Res."</f>
        <v>0</v>
      </c>
      <c r="I659" s="106"/>
      <c r="J659" s="198"/>
      <c r="K659" s="108"/>
      <c r="L659" s="96"/>
      <c r="M659" s="110"/>
      <c r="N659" s="108"/>
      <c r="O659" s="203"/>
      <c r="P659" s="195"/>
      <c r="Q659" s="146"/>
      <c r="R659" s="128"/>
      <c r="S659" s="85"/>
    </row>
    <row r="660" spans="1:19" s="86" customFormat="1" ht="26.25" customHeight="1">
      <c r="A660" s="129"/>
      <c r="B660" s="88"/>
      <c r="C660" s="89"/>
      <c r="D660" s="130"/>
      <c r="E660" s="91"/>
      <c r="F660" s="130"/>
      <c r="G660" s="160"/>
      <c r="H660" s="132">
        <f>"&lt;b&gt;Michelle&amp;nbsp;Krebs&lt;/b&gt;, Cox Autom. &amp; Autotrader"</f>
        <v>0</v>
      </c>
      <c r="I660" s="106"/>
      <c r="J660" s="198"/>
      <c r="K660" s="108"/>
      <c r="L660" s="96"/>
      <c r="M660" s="110"/>
      <c r="N660" s="108"/>
      <c r="O660" s="203"/>
      <c r="P660" s="195"/>
      <c r="Q660" s="146"/>
      <c r="R660" s="128"/>
      <c r="S660" s="85"/>
    </row>
    <row r="661" spans="1:19" s="86" customFormat="1" ht="26.25" customHeight="1">
      <c r="A661" s="129"/>
      <c r="B661" s="88"/>
      <c r="C661" s="89"/>
      <c r="D661" s="130"/>
      <c r="E661" s="91"/>
      <c r="F661" s="130"/>
      <c r="G661" s="160"/>
      <c r="H661" s="132">
        <f>"&lt;b&gt;Chris&amp;nbsp;Krueger&lt;/b&gt;, Cowen Wash. Res. Grp."</f>
        <v>0</v>
      </c>
      <c r="I661" s="106"/>
      <c r="J661" s="198"/>
      <c r="K661" s="108"/>
      <c r="L661" s="96"/>
      <c r="M661" s="110"/>
      <c r="N661" s="108"/>
      <c r="O661" s="203"/>
      <c r="P661" s="195"/>
      <c r="Q661" s="146"/>
      <c r="R661" s="128"/>
      <c r="S661" s="85"/>
    </row>
    <row r="662" spans="1:19" s="86" customFormat="1" ht="72.75" customHeight="1">
      <c r="A662" s="102">
        <f>"Free Webinar:  The Unsung Capabilities of Charger Software in Creating a High-Performing EV"</f>
        <v>0</v>
      </c>
      <c r="B662" s="88" t="s">
        <v>1962</v>
      </c>
      <c r="C662" s="89">
        <f>"https://us02web.zoom.us/webinar/register/4016051149066/WN_m8rfwEZyTOu5L_QwmaJF7A"</f>
        <v>0</v>
      </c>
      <c r="D662" s="183"/>
      <c r="E662" s="91" t="s">
        <v>1963</v>
      </c>
      <c r="F662" s="183" t="s">
        <v>1964</v>
      </c>
      <c r="G662" s="104">
        <f>"&amp;hellip; the secret ingredient behind creating a high-performing and fully connected EV is your battery charger &amp;hellip;"</f>
        <v>0</v>
      </c>
      <c r="H662" s="132">
        <f>"&lt;b&gt;Conway&amp;nbsp;Hui&lt;/b&gt;, Dir. Sales Appl. Eng. &amp; Cust. Sup., Delta&amp;#8209;Q&amp;nbsp;Techn."</f>
        <v>0</v>
      </c>
      <c r="I662" s="106"/>
      <c r="J662" s="133"/>
      <c r="K662" s="108"/>
      <c r="L662" s="159"/>
      <c r="M662" s="110"/>
      <c r="N662" s="108"/>
      <c r="O662" s="203" t="s">
        <v>153</v>
      </c>
      <c r="P662" s="204" t="s">
        <v>1731</v>
      </c>
      <c r="Q662" s="146" t="s">
        <v>54</v>
      </c>
      <c r="R662" s="128" t="s">
        <v>55</v>
      </c>
      <c r="S662" s="85"/>
    </row>
    <row r="663" spans="1:64" s="86" customFormat="1" ht="56.25" customHeight="1">
      <c r="A663" s="129" t="s">
        <v>1965</v>
      </c>
      <c r="B663" s="88" t="s">
        <v>1966</v>
      </c>
      <c r="C663" s="89">
        <f>"https://mailchi.mp/avere.org/the-avere-e-mobility-bulletin-evs32-wevj-avere-events-590118?e=f6ca89c8a5"</f>
        <v>0</v>
      </c>
      <c r="D663" s="130"/>
      <c r="E663" s="91" t="s">
        <v>1967</v>
      </c>
      <c r="F663" s="130" t="s">
        <v>1968</v>
      </c>
      <c r="G663" s="104">
        <f>"&amp;hellip; an overview and an evaluation of the performance of the EV sector across 2020."</f>
        <v>0</v>
      </c>
      <c r="H663" s="132">
        <f>"&lt;b&gt;Jeff&amp;nbsp;Allen&lt;/b&gt;, Exec. Dir., Forth Mobility (USA)"</f>
        <v>0</v>
      </c>
      <c r="I663" s="106"/>
      <c r="J663" s="107"/>
      <c r="K663" s="134"/>
      <c r="L663" s="159">
        <f>"Registration:  https://10times.com/e1ss-4pk1-px37/live"</f>
        <v>0</v>
      </c>
      <c r="M663" s="110"/>
      <c r="N663" s="98"/>
      <c r="O663" s="99"/>
      <c r="P663" s="130"/>
      <c r="Q663" s="187" t="s">
        <v>54</v>
      </c>
      <c r="R663" s="128" t="s">
        <v>55</v>
      </c>
      <c r="S663" s="85"/>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row>
    <row r="664" spans="1:64" s="86" customFormat="1" ht="56.25" customHeight="1">
      <c r="A664" s="129"/>
      <c r="B664" s="88"/>
      <c r="C664" s="89"/>
      <c r="D664" s="130"/>
      <c r="E664" s="91"/>
      <c r="F664" s="130"/>
      <c r="G664" s="104"/>
      <c r="H664" s="132">
        <f>"&lt;b&gt;Hiten&amp;nbsp;Palmer&lt;/b&gt;, Dir., uYilo e&amp;#8209;Mobility Programme (South Africa)"</f>
        <v>0</v>
      </c>
      <c r="I664" s="106"/>
      <c r="J664" s="107"/>
      <c r="K664" s="134"/>
      <c r="L664" s="159"/>
      <c r="M664" s="110"/>
      <c r="N664" s="98"/>
      <c r="O664" s="99"/>
      <c r="P664" s="130"/>
      <c r="Q664" s="187"/>
      <c r="R664" s="128"/>
      <c r="S664" s="85"/>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row>
    <row r="665" spans="1:64" s="86" customFormat="1" ht="56.25" customHeight="1">
      <c r="A665" s="129"/>
      <c r="B665" s="88"/>
      <c r="C665" s="89"/>
      <c r="D665" s="130"/>
      <c r="E665" s="91"/>
      <c r="F665" s="130"/>
      <c r="G665" s="104"/>
      <c r="H665" s="132">
        <f>"&lt;b&gt;Catherine&amp;nbsp;Kargas&lt;/b&gt;, Dir., Elec. Mobility Canada"</f>
        <v>0</v>
      </c>
      <c r="I665" s="106"/>
      <c r="J665" s="107"/>
      <c r="K665" s="134"/>
      <c r="L665" s="159" t="s">
        <v>1431</v>
      </c>
      <c r="M665" s="110"/>
      <c r="N665" s="98"/>
      <c r="O665" s="99"/>
      <c r="P665" s="130"/>
      <c r="Q665" s="187"/>
      <c r="R665" s="128"/>
      <c r="S665" s="85"/>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row>
    <row r="666" spans="1:64" s="86" customFormat="1" ht="42" customHeight="1">
      <c r="A666" s="129"/>
      <c r="B666" s="88"/>
      <c r="C666" s="89"/>
      <c r="D666" s="130"/>
      <c r="E666" s="91"/>
      <c r="F666" s="130"/>
      <c r="G666" s="104"/>
      <c r="H666" s="132">
        <f>"&lt;b&gt;Franz&amp;nbsp;Loogen&lt;/b&gt;, President &amp;ndash; e&amp;#8209;mobil BW (Germany)"</f>
        <v>0</v>
      </c>
      <c r="I666" s="106"/>
      <c r="J666" s="107"/>
      <c r="K666" s="134"/>
      <c r="L666" s="159"/>
      <c r="M666" s="110"/>
      <c r="N666" s="98"/>
      <c r="O666" s="99"/>
      <c r="P666" s="130"/>
      <c r="Q666" s="187"/>
      <c r="R666" s="128"/>
      <c r="S666" s="85"/>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row>
    <row r="667" spans="1:64" s="86" customFormat="1" ht="30.75" customHeight="1">
      <c r="A667" s="102">
        <f>"SAE Free Webinar:  New High-Peak Power Line Laser for Beam-Steering LiDAR"</f>
        <v>0</v>
      </c>
      <c r="B667" s="88" t="s">
        <v>1969</v>
      </c>
      <c r="C667" s="89">
        <f>"https://event.webcasts.com/starthere.jsp?ei=1398885&amp;tp_key=02b6329452"</f>
        <v>0</v>
      </c>
      <c r="D667" s="130"/>
      <c r="E667" s="91" t="s">
        <v>1970</v>
      </c>
      <c r="F667" s="130" t="s">
        <v>1971</v>
      </c>
      <c r="G667" s="160">
        <f>"&amp;hellip; a novel high-peak power line laser with high horizontal and vertical resolution has been devised and [is] a cost-effective way to enable L2-L4 autonomous driving."</f>
        <v>0</v>
      </c>
      <c r="H667" s="132">
        <f>"&lt;b&gt;Leon&amp;nbsp;Li&lt;/b&gt;, Deputy GM, Autom. BU, Focuslight Technologies"</f>
        <v>0</v>
      </c>
      <c r="I667" s="301"/>
      <c r="J667" s="202"/>
      <c r="K667" s="134"/>
      <c r="L667" s="364"/>
      <c r="M667" s="130"/>
      <c r="N667" s="187"/>
      <c r="O667" s="364" t="s">
        <v>260</v>
      </c>
      <c r="P667" s="130" t="s">
        <v>1213</v>
      </c>
      <c r="Q667" s="100" t="s">
        <v>54</v>
      </c>
      <c r="R667" s="128" t="s">
        <v>55</v>
      </c>
      <c r="S667" s="85"/>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row>
    <row r="668" spans="1:64" s="86" customFormat="1" ht="29.25" customHeight="1">
      <c r="A668" s="102"/>
      <c r="B668" s="88"/>
      <c r="C668" s="89"/>
      <c r="D668" s="130"/>
      <c r="E668" s="91"/>
      <c r="F668" s="130"/>
      <c r="G668" s="160"/>
      <c r="H668" s="132" t="s">
        <v>1214</v>
      </c>
      <c r="I668" s="301"/>
      <c r="J668" s="202"/>
      <c r="K668" s="134"/>
      <c r="L668" s="364"/>
      <c r="M668" s="130"/>
      <c r="N668" s="187"/>
      <c r="O668" s="364"/>
      <c r="P668" s="130"/>
      <c r="Q668" s="100"/>
      <c r="R668" s="128"/>
      <c r="S668" s="85"/>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row>
    <row r="669" spans="1:64" s="86" customFormat="1" ht="73.5" customHeight="1">
      <c r="A669" s="87" t="s">
        <v>1972</v>
      </c>
      <c r="B669" s="88" t="s">
        <v>1973</v>
      </c>
      <c r="C669" s="89">
        <f>"https://register.gotowebinar.com/register/1828746632250699276"</f>
        <v>0</v>
      </c>
      <c r="D669" s="183"/>
      <c r="E669" s="91" t="s">
        <v>1974</v>
      </c>
      <c r="F669" s="183" t="s">
        <v>1975</v>
      </c>
      <c r="G669" s="104">
        <f>"How does battery SOH impact the performance of an energy storage system used for a particular application?"</f>
        <v>0</v>
      </c>
      <c r="H669" s="132" t="s">
        <v>1976</v>
      </c>
      <c r="I669" s="135"/>
      <c r="J669" s="202"/>
      <c r="K669" s="108"/>
      <c r="L669" s="199"/>
      <c r="M669" s="176"/>
      <c r="N669" s="181"/>
      <c r="O669" s="99" t="s">
        <v>145</v>
      </c>
      <c r="P669" s="183" t="s">
        <v>1353</v>
      </c>
      <c r="Q669" s="100" t="s">
        <v>54</v>
      </c>
      <c r="R669" s="128" t="s">
        <v>55</v>
      </c>
      <c r="S669" s="85"/>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row>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2741">
    <mergeCell ref="E1:G1"/>
    <mergeCell ref="I1:K1"/>
    <mergeCell ref="L1:M1"/>
    <mergeCell ref="N1:N2"/>
    <mergeCell ref="O1:Q1"/>
    <mergeCell ref="R1:R2"/>
    <mergeCell ref="A4:A7"/>
    <mergeCell ref="B4:B7"/>
    <mergeCell ref="C4:C7"/>
    <mergeCell ref="D4:D7"/>
    <mergeCell ref="E4:E7"/>
    <mergeCell ref="F4:F7"/>
    <mergeCell ref="G4:G7"/>
    <mergeCell ref="H4:H7"/>
    <mergeCell ref="I4:J4"/>
    <mergeCell ref="K4:K5"/>
    <mergeCell ref="L4:L7"/>
    <mergeCell ref="O4:O7"/>
    <mergeCell ref="P4:P7"/>
    <mergeCell ref="Q4:Q7"/>
    <mergeCell ref="R4:R7"/>
    <mergeCell ref="I5:J6"/>
    <mergeCell ref="K6:K7"/>
    <mergeCell ref="I7:J7"/>
    <mergeCell ref="D8:D9"/>
    <mergeCell ref="I8:I9"/>
    <mergeCell ref="J8:J9"/>
    <mergeCell ref="L8:L9"/>
    <mergeCell ref="M8:M9"/>
    <mergeCell ref="N8:N9"/>
    <mergeCell ref="O8:O9"/>
    <mergeCell ref="P8:P9"/>
    <mergeCell ref="Q8:Q9"/>
    <mergeCell ref="R8:R9"/>
    <mergeCell ref="A12:A15"/>
    <mergeCell ref="B12:B15"/>
    <mergeCell ref="C12:C15"/>
    <mergeCell ref="D12:D15"/>
    <mergeCell ref="E12:E15"/>
    <mergeCell ref="F12:F15"/>
    <mergeCell ref="G12:G15"/>
    <mergeCell ref="H12:H15"/>
    <mergeCell ref="I12:I13"/>
    <mergeCell ref="K12:K13"/>
    <mergeCell ref="L12:L13"/>
    <mergeCell ref="M12:M13"/>
    <mergeCell ref="N12:N13"/>
    <mergeCell ref="O12:O15"/>
    <mergeCell ref="P12:P15"/>
    <mergeCell ref="Q12:Q15"/>
    <mergeCell ref="R12:R15"/>
    <mergeCell ref="I14:K14"/>
    <mergeCell ref="L14:L15"/>
    <mergeCell ref="M14:M15"/>
    <mergeCell ref="N14:N15"/>
    <mergeCell ref="A17:A18"/>
    <mergeCell ref="B17:B18"/>
    <mergeCell ref="D17:D18"/>
    <mergeCell ref="E17:E18"/>
    <mergeCell ref="F17:F18"/>
    <mergeCell ref="G17:G18"/>
    <mergeCell ref="H17:H18"/>
    <mergeCell ref="I17:J17"/>
    <mergeCell ref="O17:O18"/>
    <mergeCell ref="P17:P18"/>
    <mergeCell ref="Q17:Q18"/>
    <mergeCell ref="R17:R18"/>
    <mergeCell ref="I18:J18"/>
    <mergeCell ref="A20:A21"/>
    <mergeCell ref="B20:B21"/>
    <mergeCell ref="C20:C21"/>
    <mergeCell ref="D20:D21"/>
    <mergeCell ref="E20:E21"/>
    <mergeCell ref="F20:F21"/>
    <mergeCell ref="G20:G21"/>
    <mergeCell ref="I20:I21"/>
    <mergeCell ref="J20:J21"/>
    <mergeCell ref="K20:K21"/>
    <mergeCell ref="L20:L21"/>
    <mergeCell ref="M20:M21"/>
    <mergeCell ref="N20:N21"/>
    <mergeCell ref="O20:O21"/>
    <mergeCell ref="P20:P21"/>
    <mergeCell ref="Q20:Q21"/>
    <mergeCell ref="R20:R21"/>
    <mergeCell ref="A22:A23"/>
    <mergeCell ref="B22:B23"/>
    <mergeCell ref="C22:C23"/>
    <mergeCell ref="D22:D23"/>
    <mergeCell ref="E22:E23"/>
    <mergeCell ref="F22:F23"/>
    <mergeCell ref="G22:G23"/>
    <mergeCell ref="I22:I23"/>
    <mergeCell ref="J22:J23"/>
    <mergeCell ref="K22:K23"/>
    <mergeCell ref="L22:L23"/>
    <mergeCell ref="M22:M23"/>
    <mergeCell ref="N22:N23"/>
    <mergeCell ref="O22:O23"/>
    <mergeCell ref="P22:P23"/>
    <mergeCell ref="Q22:Q23"/>
    <mergeCell ref="R22:R23"/>
    <mergeCell ref="A24:A25"/>
    <mergeCell ref="B24:B25"/>
    <mergeCell ref="C24:C25"/>
    <mergeCell ref="D24:D25"/>
    <mergeCell ref="E24:E25"/>
    <mergeCell ref="F24:F25"/>
    <mergeCell ref="G24:G25"/>
    <mergeCell ref="I24:I25"/>
    <mergeCell ref="J24:J25"/>
    <mergeCell ref="K24:K25"/>
    <mergeCell ref="L24:L25"/>
    <mergeCell ref="M24:M25"/>
    <mergeCell ref="N24:N25"/>
    <mergeCell ref="O24:O25"/>
    <mergeCell ref="P24:P25"/>
    <mergeCell ref="Q24:Q25"/>
    <mergeCell ref="R24:R25"/>
    <mergeCell ref="I27:K27"/>
    <mergeCell ref="A30:A31"/>
    <mergeCell ref="B30:B31"/>
    <mergeCell ref="C30:C31"/>
    <mergeCell ref="D30:D31"/>
    <mergeCell ref="E30:E31"/>
    <mergeCell ref="F30:F31"/>
    <mergeCell ref="G30:G31"/>
    <mergeCell ref="I30:I31"/>
    <mergeCell ref="J30:J31"/>
    <mergeCell ref="K30:K31"/>
    <mergeCell ref="L30:L31"/>
    <mergeCell ref="M30:M31"/>
    <mergeCell ref="N30:N31"/>
    <mergeCell ref="Q30:Q31"/>
    <mergeCell ref="R30:R31"/>
    <mergeCell ref="L32:N32"/>
    <mergeCell ref="A35:A36"/>
    <mergeCell ref="B35:B36"/>
    <mergeCell ref="C35:C36"/>
    <mergeCell ref="D35:D36"/>
    <mergeCell ref="E35:E36"/>
    <mergeCell ref="F35:F36"/>
    <mergeCell ref="G35:G36"/>
    <mergeCell ref="I35:I36"/>
    <mergeCell ref="J35:J36"/>
    <mergeCell ref="K35:K36"/>
    <mergeCell ref="L35:L36"/>
    <mergeCell ref="M35:M36"/>
    <mergeCell ref="N35:N36"/>
    <mergeCell ref="O35:O36"/>
    <mergeCell ref="P35:P36"/>
    <mergeCell ref="Q35:Q36"/>
    <mergeCell ref="R35:R36"/>
    <mergeCell ref="A37:A38"/>
    <mergeCell ref="B37:B38"/>
    <mergeCell ref="D37:D38"/>
    <mergeCell ref="F37:F38"/>
    <mergeCell ref="G37:G38"/>
    <mergeCell ref="H37:H38"/>
    <mergeCell ref="I37:I38"/>
    <mergeCell ref="J37:J38"/>
    <mergeCell ref="L37:L38"/>
    <mergeCell ref="M37:M38"/>
    <mergeCell ref="N37:N38"/>
    <mergeCell ref="O37:O38"/>
    <mergeCell ref="P37:P38"/>
    <mergeCell ref="Q37:Q38"/>
    <mergeCell ref="R37:R38"/>
    <mergeCell ref="A39:A40"/>
    <mergeCell ref="B39:B40"/>
    <mergeCell ref="C39:C40"/>
    <mergeCell ref="D39:D40"/>
    <mergeCell ref="F39:F40"/>
    <mergeCell ref="G39:G40"/>
    <mergeCell ref="H39:H40"/>
    <mergeCell ref="I39:I40"/>
    <mergeCell ref="J39:J40"/>
    <mergeCell ref="K39:K40"/>
    <mergeCell ref="L39:L40"/>
    <mergeCell ref="M39:M40"/>
    <mergeCell ref="N39:N40"/>
    <mergeCell ref="O39:O40"/>
    <mergeCell ref="P39:P40"/>
    <mergeCell ref="Q39:Q40"/>
    <mergeCell ref="R39:R40"/>
    <mergeCell ref="A42:A43"/>
    <mergeCell ref="B42:B43"/>
    <mergeCell ref="D42:D43"/>
    <mergeCell ref="E42:E43"/>
    <mergeCell ref="F42:F43"/>
    <mergeCell ref="G42:G43"/>
    <mergeCell ref="H42:H43"/>
    <mergeCell ref="I42:I43"/>
    <mergeCell ref="J42:J43"/>
    <mergeCell ref="K42:K43"/>
    <mergeCell ref="L42:L43"/>
    <mergeCell ref="M42:M43"/>
    <mergeCell ref="N42:N43"/>
    <mergeCell ref="Q42:Q43"/>
    <mergeCell ref="R42:R43"/>
    <mergeCell ref="A45:A47"/>
    <mergeCell ref="B45:B47"/>
    <mergeCell ref="C45:C47"/>
    <mergeCell ref="D45:D47"/>
    <mergeCell ref="E45:E47"/>
    <mergeCell ref="F45:F47"/>
    <mergeCell ref="G45:G47"/>
    <mergeCell ref="I45:I47"/>
    <mergeCell ref="J45:J47"/>
    <mergeCell ref="K45:K47"/>
    <mergeCell ref="L45:L47"/>
    <mergeCell ref="M45:M47"/>
    <mergeCell ref="N45:N47"/>
    <mergeCell ref="O45:O47"/>
    <mergeCell ref="P45:P47"/>
    <mergeCell ref="Q45:Q47"/>
    <mergeCell ref="R45:R47"/>
    <mergeCell ref="A50:A51"/>
    <mergeCell ref="B50:B51"/>
    <mergeCell ref="C50:C51"/>
    <mergeCell ref="D50:D51"/>
    <mergeCell ref="E50:E51"/>
    <mergeCell ref="F50:F51"/>
    <mergeCell ref="H50:H51"/>
    <mergeCell ref="I50:I51"/>
    <mergeCell ref="J50:J51"/>
    <mergeCell ref="K50:K51"/>
    <mergeCell ref="L50:L51"/>
    <mergeCell ref="M50:M51"/>
    <mergeCell ref="N50:N51"/>
    <mergeCell ref="O50:O51"/>
    <mergeCell ref="P50:P51"/>
    <mergeCell ref="Q50:Q51"/>
    <mergeCell ref="R50:R51"/>
    <mergeCell ref="L52:M52"/>
    <mergeCell ref="A53:A54"/>
    <mergeCell ref="B53:B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A55:A56"/>
    <mergeCell ref="B55:B56"/>
    <mergeCell ref="C55:C56"/>
    <mergeCell ref="D55:D56"/>
    <mergeCell ref="E55:E56"/>
    <mergeCell ref="F55:F56"/>
    <mergeCell ref="G55:G56"/>
    <mergeCell ref="H55:H56"/>
    <mergeCell ref="I55:I56"/>
    <mergeCell ref="J55:J56"/>
    <mergeCell ref="K55:K56"/>
    <mergeCell ref="L55:L56"/>
    <mergeCell ref="M55:M56"/>
    <mergeCell ref="N55:N56"/>
    <mergeCell ref="Q55:Q56"/>
    <mergeCell ref="R55:R56"/>
    <mergeCell ref="A57:A59"/>
    <mergeCell ref="B57:B59"/>
    <mergeCell ref="C57:C59"/>
    <mergeCell ref="D57:D59"/>
    <mergeCell ref="E57:E59"/>
    <mergeCell ref="F57:F59"/>
    <mergeCell ref="G57:G59"/>
    <mergeCell ref="I57:I59"/>
    <mergeCell ref="J57:J59"/>
    <mergeCell ref="K57:K59"/>
    <mergeCell ref="L57:L59"/>
    <mergeCell ref="M57:M59"/>
    <mergeCell ref="N57:N59"/>
    <mergeCell ref="O57:O59"/>
    <mergeCell ref="P57:P59"/>
    <mergeCell ref="Q57:Q59"/>
    <mergeCell ref="R57:R59"/>
    <mergeCell ref="A60:A63"/>
    <mergeCell ref="B60:B63"/>
    <mergeCell ref="C60:C63"/>
    <mergeCell ref="D60:D63"/>
    <mergeCell ref="E60:E63"/>
    <mergeCell ref="F60:F63"/>
    <mergeCell ref="G60:G63"/>
    <mergeCell ref="I60:I63"/>
    <mergeCell ref="J60:J63"/>
    <mergeCell ref="K60:K63"/>
    <mergeCell ref="L60:L63"/>
    <mergeCell ref="M60:M63"/>
    <mergeCell ref="N60:N63"/>
    <mergeCell ref="O60:O63"/>
    <mergeCell ref="P60:P63"/>
    <mergeCell ref="Q60:Q63"/>
    <mergeCell ref="R60:R63"/>
    <mergeCell ref="A70:A71"/>
    <mergeCell ref="B70:B71"/>
    <mergeCell ref="C70:C71"/>
    <mergeCell ref="D70:D71"/>
    <mergeCell ref="E70:E71"/>
    <mergeCell ref="F70:F71"/>
    <mergeCell ref="G70:G71"/>
    <mergeCell ref="H70:H71"/>
    <mergeCell ref="J70:J71"/>
    <mergeCell ref="K70:K71"/>
    <mergeCell ref="O70:O71"/>
    <mergeCell ref="P70:P71"/>
    <mergeCell ref="Q70:Q71"/>
    <mergeCell ref="R70:R71"/>
    <mergeCell ref="A72:A73"/>
    <mergeCell ref="B72:B73"/>
    <mergeCell ref="D72:D73"/>
    <mergeCell ref="E72:E73"/>
    <mergeCell ref="F72:F73"/>
    <mergeCell ref="G72:G73"/>
    <mergeCell ref="H72:H73"/>
    <mergeCell ref="I72:I73"/>
    <mergeCell ref="J72:J73"/>
    <mergeCell ref="K72:K73"/>
    <mergeCell ref="L72:L73"/>
    <mergeCell ref="M72:M73"/>
    <mergeCell ref="N72:N73"/>
    <mergeCell ref="O72:O73"/>
    <mergeCell ref="P72:P73"/>
    <mergeCell ref="Q72:Q73"/>
    <mergeCell ref="R72:R73"/>
    <mergeCell ref="A75:A76"/>
    <mergeCell ref="B75:B76"/>
    <mergeCell ref="C75:C76"/>
    <mergeCell ref="D75:D76"/>
    <mergeCell ref="E75:E76"/>
    <mergeCell ref="F75:F76"/>
    <mergeCell ref="G75:G76"/>
    <mergeCell ref="I75:I76"/>
    <mergeCell ref="J75:J76"/>
    <mergeCell ref="K75:K76"/>
    <mergeCell ref="L75:L76"/>
    <mergeCell ref="M75:M76"/>
    <mergeCell ref="N75:N76"/>
    <mergeCell ref="O75:O76"/>
    <mergeCell ref="P75:P76"/>
    <mergeCell ref="Q75:Q76"/>
    <mergeCell ref="R75:R76"/>
    <mergeCell ref="A78:A79"/>
    <mergeCell ref="B78:B79"/>
    <mergeCell ref="C78:C79"/>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A80:A81"/>
    <mergeCell ref="B80:B81"/>
    <mergeCell ref="C80:C81"/>
    <mergeCell ref="D80:D81"/>
    <mergeCell ref="E80:E81"/>
    <mergeCell ref="F80:F81"/>
    <mergeCell ref="G80:G81"/>
    <mergeCell ref="I80:I81"/>
    <mergeCell ref="J80:J81"/>
    <mergeCell ref="K80:K81"/>
    <mergeCell ref="L80:L81"/>
    <mergeCell ref="M80:M81"/>
    <mergeCell ref="N80:N81"/>
    <mergeCell ref="O80:O81"/>
    <mergeCell ref="P80:P81"/>
    <mergeCell ref="Q80:Q81"/>
    <mergeCell ref="R80:R81"/>
    <mergeCell ref="A82:A86"/>
    <mergeCell ref="B82:B86"/>
    <mergeCell ref="C82:C86"/>
    <mergeCell ref="D82:D86"/>
    <mergeCell ref="E82:E86"/>
    <mergeCell ref="F82:F86"/>
    <mergeCell ref="G82:G86"/>
    <mergeCell ref="I82:I86"/>
    <mergeCell ref="J82:J86"/>
    <mergeCell ref="K82:K86"/>
    <mergeCell ref="L82:L86"/>
    <mergeCell ref="M82:M86"/>
    <mergeCell ref="N82:N86"/>
    <mergeCell ref="O82:O83"/>
    <mergeCell ref="P82:P83"/>
    <mergeCell ref="Q82:Q86"/>
    <mergeCell ref="R82:R86"/>
    <mergeCell ref="O84:O86"/>
    <mergeCell ref="P84:P86"/>
    <mergeCell ref="A87:A88"/>
    <mergeCell ref="B87:B88"/>
    <mergeCell ref="C87:C88"/>
    <mergeCell ref="D87:D88"/>
    <mergeCell ref="E87:E88"/>
    <mergeCell ref="F87:F88"/>
    <mergeCell ref="G87:G88"/>
    <mergeCell ref="I87:I88"/>
    <mergeCell ref="J87:J88"/>
    <mergeCell ref="K87:K88"/>
    <mergeCell ref="L87:L88"/>
    <mergeCell ref="M87:M88"/>
    <mergeCell ref="N87:N88"/>
    <mergeCell ref="O87:O88"/>
    <mergeCell ref="P87:P88"/>
    <mergeCell ref="Q87:Q88"/>
    <mergeCell ref="R87:R88"/>
    <mergeCell ref="A89:A90"/>
    <mergeCell ref="B89:B90"/>
    <mergeCell ref="C89:C90"/>
    <mergeCell ref="D89:D90"/>
    <mergeCell ref="E89:E90"/>
    <mergeCell ref="F89:F90"/>
    <mergeCell ref="G89:G90"/>
    <mergeCell ref="I89:I90"/>
    <mergeCell ref="J89:J90"/>
    <mergeCell ref="K89:K90"/>
    <mergeCell ref="L89:L90"/>
    <mergeCell ref="M89:M90"/>
    <mergeCell ref="N89:N90"/>
    <mergeCell ref="O89:O90"/>
    <mergeCell ref="P89:P90"/>
    <mergeCell ref="Q89:Q90"/>
    <mergeCell ref="R89:R90"/>
    <mergeCell ref="A91:A94"/>
    <mergeCell ref="B91:B94"/>
    <mergeCell ref="C91:C94"/>
    <mergeCell ref="D91:D94"/>
    <mergeCell ref="E91:E94"/>
    <mergeCell ref="F91:F94"/>
    <mergeCell ref="G91:G94"/>
    <mergeCell ref="I91:I94"/>
    <mergeCell ref="J91:J94"/>
    <mergeCell ref="K91:K94"/>
    <mergeCell ref="L91:L94"/>
    <mergeCell ref="M91:M94"/>
    <mergeCell ref="N91:N94"/>
    <mergeCell ref="O91:O94"/>
    <mergeCell ref="P91:P94"/>
    <mergeCell ref="Q91:Q94"/>
    <mergeCell ref="R91:R94"/>
    <mergeCell ref="A100:A103"/>
    <mergeCell ref="B100:B103"/>
    <mergeCell ref="C100:C103"/>
    <mergeCell ref="D100:D103"/>
    <mergeCell ref="E100:E103"/>
    <mergeCell ref="F100:F103"/>
    <mergeCell ref="G100:G103"/>
    <mergeCell ref="H100:H103"/>
    <mergeCell ref="I100:J100"/>
    <mergeCell ref="L100:L103"/>
    <mergeCell ref="O100:O103"/>
    <mergeCell ref="P100:P103"/>
    <mergeCell ref="Q100:Q103"/>
    <mergeCell ref="R100:R103"/>
    <mergeCell ref="I101:J101"/>
    <mergeCell ref="I102:J102"/>
    <mergeCell ref="I103:J103"/>
    <mergeCell ref="A107:A108"/>
    <mergeCell ref="B107:B108"/>
    <mergeCell ref="C107:C108"/>
    <mergeCell ref="D107:D108"/>
    <mergeCell ref="E107:E108"/>
    <mergeCell ref="F107:F108"/>
    <mergeCell ref="G107:G108"/>
    <mergeCell ref="H107:H108"/>
    <mergeCell ref="I107:I108"/>
    <mergeCell ref="J107:J108"/>
    <mergeCell ref="K107:K108"/>
    <mergeCell ref="N107:N108"/>
    <mergeCell ref="Q107:Q108"/>
    <mergeCell ref="R107:R108"/>
    <mergeCell ref="A109:A110"/>
    <mergeCell ref="B109:B110"/>
    <mergeCell ref="C109:C110"/>
    <mergeCell ref="D109:D110"/>
    <mergeCell ref="E109:E110"/>
    <mergeCell ref="F109:F110"/>
    <mergeCell ref="G109:G110"/>
    <mergeCell ref="H109:H110"/>
    <mergeCell ref="I109:I110"/>
    <mergeCell ref="J109:J110"/>
    <mergeCell ref="K109:K110"/>
    <mergeCell ref="L109:L110"/>
    <mergeCell ref="O109:O110"/>
    <mergeCell ref="P109:P110"/>
    <mergeCell ref="Q109:Q110"/>
    <mergeCell ref="R109:R110"/>
    <mergeCell ref="A112:A115"/>
    <mergeCell ref="B112:B115"/>
    <mergeCell ref="C112:C115"/>
    <mergeCell ref="D112:D115"/>
    <mergeCell ref="E112:E115"/>
    <mergeCell ref="F112:F115"/>
    <mergeCell ref="G112:G115"/>
    <mergeCell ref="I112:I115"/>
    <mergeCell ref="J112:J115"/>
    <mergeCell ref="K112:K115"/>
    <mergeCell ref="L112:L115"/>
    <mergeCell ref="M112:M115"/>
    <mergeCell ref="N112:N115"/>
    <mergeCell ref="O112:O113"/>
    <mergeCell ref="P112:P113"/>
    <mergeCell ref="Q112:Q115"/>
    <mergeCell ref="R112:R115"/>
    <mergeCell ref="O114:O115"/>
    <mergeCell ref="P114:P115"/>
    <mergeCell ref="A117:A118"/>
    <mergeCell ref="B117:B118"/>
    <mergeCell ref="C117:C118"/>
    <mergeCell ref="D117:D118"/>
    <mergeCell ref="E117:E118"/>
    <mergeCell ref="F117:F118"/>
    <mergeCell ref="G117:G118"/>
    <mergeCell ref="H117:H118"/>
    <mergeCell ref="I117:I118"/>
    <mergeCell ref="J117:J118"/>
    <mergeCell ref="K117:K118"/>
    <mergeCell ref="N117:N118"/>
    <mergeCell ref="O117:O118"/>
    <mergeCell ref="P117:P118"/>
    <mergeCell ref="Q117:Q118"/>
    <mergeCell ref="R117:R118"/>
    <mergeCell ref="L118:M118"/>
    <mergeCell ref="A119:A120"/>
    <mergeCell ref="B119:B120"/>
    <mergeCell ref="D119:D120"/>
    <mergeCell ref="E119:E120"/>
    <mergeCell ref="F119:F120"/>
    <mergeCell ref="G119:G120"/>
    <mergeCell ref="I119:I120"/>
    <mergeCell ref="J119:J120"/>
    <mergeCell ref="K119:K120"/>
    <mergeCell ref="L119:L120"/>
    <mergeCell ref="M119:M120"/>
    <mergeCell ref="N119:N120"/>
    <mergeCell ref="Q119:Q120"/>
    <mergeCell ref="R119:R120"/>
    <mergeCell ref="A121:A125"/>
    <mergeCell ref="B121:B125"/>
    <mergeCell ref="C121:C125"/>
    <mergeCell ref="D121:D125"/>
    <mergeCell ref="E121:E125"/>
    <mergeCell ref="F121:F125"/>
    <mergeCell ref="G121:G125"/>
    <mergeCell ref="I121:I125"/>
    <mergeCell ref="J121:J125"/>
    <mergeCell ref="K121:K125"/>
    <mergeCell ref="L121:L125"/>
    <mergeCell ref="M121:M125"/>
    <mergeCell ref="N121:N125"/>
    <mergeCell ref="O121:O125"/>
    <mergeCell ref="P121:P125"/>
    <mergeCell ref="Q121:Q125"/>
    <mergeCell ref="R121:R125"/>
    <mergeCell ref="L129:M129"/>
    <mergeCell ref="A130:A132"/>
    <mergeCell ref="B130:B132"/>
    <mergeCell ref="C130:C132"/>
    <mergeCell ref="D130:D132"/>
    <mergeCell ref="E130:E132"/>
    <mergeCell ref="F130:F132"/>
    <mergeCell ref="G130:G132"/>
    <mergeCell ref="H130:H132"/>
    <mergeCell ref="I130:I132"/>
    <mergeCell ref="J130:J132"/>
    <mergeCell ref="K130:K132"/>
    <mergeCell ref="O130:O132"/>
    <mergeCell ref="P130:P132"/>
    <mergeCell ref="Q130:Q132"/>
    <mergeCell ref="R130:R132"/>
    <mergeCell ref="A133:A136"/>
    <mergeCell ref="B133:B136"/>
    <mergeCell ref="C133:C136"/>
    <mergeCell ref="D133:D136"/>
    <mergeCell ref="E133:E136"/>
    <mergeCell ref="F133:F136"/>
    <mergeCell ref="G133:G136"/>
    <mergeCell ref="H133:H136"/>
    <mergeCell ref="I133:I136"/>
    <mergeCell ref="J133:J136"/>
    <mergeCell ref="K133:K136"/>
    <mergeCell ref="L133:L134"/>
    <mergeCell ref="D137:D138"/>
    <mergeCell ref="E137:E138"/>
    <mergeCell ref="O137:O138"/>
    <mergeCell ref="P137:P138"/>
    <mergeCell ref="Q137:Q138"/>
    <mergeCell ref="R137:R138"/>
    <mergeCell ref="A139:A140"/>
    <mergeCell ref="B139:B140"/>
    <mergeCell ref="C139:C140"/>
    <mergeCell ref="D139:D140"/>
    <mergeCell ref="E139:E140"/>
    <mergeCell ref="F139:F140"/>
    <mergeCell ref="G139:G140"/>
    <mergeCell ref="H139:H140"/>
    <mergeCell ref="I139:I140"/>
    <mergeCell ref="K139:K140"/>
    <mergeCell ref="L139:L140"/>
    <mergeCell ref="M139:M140"/>
    <mergeCell ref="N139:N140"/>
    <mergeCell ref="O139:O140"/>
    <mergeCell ref="P139:P140"/>
    <mergeCell ref="Q139:Q140"/>
    <mergeCell ref="R139:R140"/>
    <mergeCell ref="A141:A144"/>
    <mergeCell ref="B141:B144"/>
    <mergeCell ref="C141:C144"/>
    <mergeCell ref="D141:D144"/>
    <mergeCell ref="E141:E144"/>
    <mergeCell ref="F141:F144"/>
    <mergeCell ref="G141:G144"/>
    <mergeCell ref="H141:H144"/>
    <mergeCell ref="I141:J141"/>
    <mergeCell ref="K141:K142"/>
    <mergeCell ref="L141:L144"/>
    <mergeCell ref="O141:O144"/>
    <mergeCell ref="P141:P144"/>
    <mergeCell ref="Q141:Q144"/>
    <mergeCell ref="R141:R144"/>
    <mergeCell ref="I142:J143"/>
    <mergeCell ref="K143:K144"/>
    <mergeCell ref="I144:J144"/>
    <mergeCell ref="A146:A148"/>
    <mergeCell ref="B146:B148"/>
    <mergeCell ref="C146:C148"/>
    <mergeCell ref="D146:D148"/>
    <mergeCell ref="E146:E148"/>
    <mergeCell ref="F146:F148"/>
    <mergeCell ref="G146:G148"/>
    <mergeCell ref="H146:H148"/>
    <mergeCell ref="I146:I148"/>
    <mergeCell ref="J146:J148"/>
    <mergeCell ref="K146:K148"/>
    <mergeCell ref="M146:N146"/>
    <mergeCell ref="O146:O148"/>
    <mergeCell ref="P146:P148"/>
    <mergeCell ref="Q146:Q148"/>
    <mergeCell ref="R146:R148"/>
    <mergeCell ref="M147:N147"/>
    <mergeCell ref="M148:N148"/>
    <mergeCell ref="A149:A152"/>
    <mergeCell ref="B149:B152"/>
    <mergeCell ref="C149:C152"/>
    <mergeCell ref="D149:D152"/>
    <mergeCell ref="E149:E152"/>
    <mergeCell ref="F149:F152"/>
    <mergeCell ref="G149:G150"/>
    <mergeCell ref="H149:H152"/>
    <mergeCell ref="I149:I152"/>
    <mergeCell ref="J149:J152"/>
    <mergeCell ref="K149:K152"/>
    <mergeCell ref="M149:M152"/>
    <mergeCell ref="N149:N151"/>
    <mergeCell ref="O149:O152"/>
    <mergeCell ref="P149:P152"/>
    <mergeCell ref="Q149:Q152"/>
    <mergeCell ref="R149:R152"/>
    <mergeCell ref="G151:G152"/>
    <mergeCell ref="A154:A155"/>
    <mergeCell ref="B154:B155"/>
    <mergeCell ref="D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Q154:Q155"/>
    <mergeCell ref="R154:R155"/>
    <mergeCell ref="A157:A158"/>
    <mergeCell ref="B157:B158"/>
    <mergeCell ref="C157:C158"/>
    <mergeCell ref="D157:D158"/>
    <mergeCell ref="E157:E158"/>
    <mergeCell ref="F157:F158"/>
    <mergeCell ref="G157:G158"/>
    <mergeCell ref="I157:I158"/>
    <mergeCell ref="J157:J158"/>
    <mergeCell ref="K157:K158"/>
    <mergeCell ref="L157:L158"/>
    <mergeCell ref="M157:M158"/>
    <mergeCell ref="N157:N158"/>
    <mergeCell ref="O157:O158"/>
    <mergeCell ref="P157:P158"/>
    <mergeCell ref="Q157:Q158"/>
    <mergeCell ref="R157:R158"/>
    <mergeCell ref="A160:A167"/>
    <mergeCell ref="B160:B167"/>
    <mergeCell ref="C160:C167"/>
    <mergeCell ref="D160:D167"/>
    <mergeCell ref="E160:E162"/>
    <mergeCell ref="F160:F167"/>
    <mergeCell ref="G160:G167"/>
    <mergeCell ref="H160:H167"/>
    <mergeCell ref="I160:I167"/>
    <mergeCell ref="J160:J167"/>
    <mergeCell ref="K160:K167"/>
    <mergeCell ref="O160:O167"/>
    <mergeCell ref="P160:P167"/>
    <mergeCell ref="Q160:Q167"/>
    <mergeCell ref="R160:R167"/>
    <mergeCell ref="L161:M161"/>
    <mergeCell ref="L162:M162"/>
    <mergeCell ref="E163:E165"/>
    <mergeCell ref="L163:M163"/>
    <mergeCell ref="L164:M164"/>
    <mergeCell ref="L165:M165"/>
    <mergeCell ref="E166:E167"/>
    <mergeCell ref="L166:M166"/>
    <mergeCell ref="L167:M167"/>
    <mergeCell ref="A168:A170"/>
    <mergeCell ref="B168:B170"/>
    <mergeCell ref="C168:C170"/>
    <mergeCell ref="D168:D170"/>
    <mergeCell ref="E168:E170"/>
    <mergeCell ref="F168:F170"/>
    <mergeCell ref="G168:G170"/>
    <mergeCell ref="H168:H170"/>
    <mergeCell ref="M168:N168"/>
    <mergeCell ref="O168:O170"/>
    <mergeCell ref="P168:P170"/>
    <mergeCell ref="Q168:Q170"/>
    <mergeCell ref="R168:R170"/>
    <mergeCell ref="I169:I170"/>
    <mergeCell ref="J169:J170"/>
    <mergeCell ref="K169:K170"/>
    <mergeCell ref="M169:N169"/>
    <mergeCell ref="M170:N170"/>
    <mergeCell ref="A172:A177"/>
    <mergeCell ref="B172:B177"/>
    <mergeCell ref="C172:C177"/>
    <mergeCell ref="D172:D177"/>
    <mergeCell ref="E172:E177"/>
    <mergeCell ref="F172:F177"/>
    <mergeCell ref="G172:G177"/>
    <mergeCell ref="H172:H177"/>
    <mergeCell ref="I172:I177"/>
    <mergeCell ref="J172:J177"/>
    <mergeCell ref="K172:K177"/>
    <mergeCell ref="N172:N174"/>
    <mergeCell ref="O172:O177"/>
    <mergeCell ref="P172:P177"/>
    <mergeCell ref="Q172:Q177"/>
    <mergeCell ref="R172:R177"/>
    <mergeCell ref="M173:M174"/>
    <mergeCell ref="M175:M176"/>
    <mergeCell ref="N175:N176"/>
    <mergeCell ref="A178:A181"/>
    <mergeCell ref="B178:B181"/>
    <mergeCell ref="C178:C181"/>
    <mergeCell ref="D178:D181"/>
    <mergeCell ref="E178:E181"/>
    <mergeCell ref="F178:F181"/>
    <mergeCell ref="G178:G181"/>
    <mergeCell ref="I178:I181"/>
    <mergeCell ref="J178:J181"/>
    <mergeCell ref="K178:K181"/>
    <mergeCell ref="L178:L181"/>
    <mergeCell ref="M178:M181"/>
    <mergeCell ref="N178:N181"/>
    <mergeCell ref="O178:O181"/>
    <mergeCell ref="P178:P181"/>
    <mergeCell ref="Q178:Q181"/>
    <mergeCell ref="R178:R181"/>
    <mergeCell ref="A185:A186"/>
    <mergeCell ref="B185:B186"/>
    <mergeCell ref="D185:D186"/>
    <mergeCell ref="E185:E186"/>
    <mergeCell ref="F185:F186"/>
    <mergeCell ref="G185:G186"/>
    <mergeCell ref="H185:H186"/>
    <mergeCell ref="I185:I186"/>
    <mergeCell ref="J185:J186"/>
    <mergeCell ref="K185:K186"/>
    <mergeCell ref="L185:L186"/>
    <mergeCell ref="M185:M186"/>
    <mergeCell ref="N185:N186"/>
    <mergeCell ref="O185:O186"/>
    <mergeCell ref="P185:P186"/>
    <mergeCell ref="Q185:Q186"/>
    <mergeCell ref="R185:R186"/>
    <mergeCell ref="A187:A193"/>
    <mergeCell ref="B187:B193"/>
    <mergeCell ref="C187:C193"/>
    <mergeCell ref="D187:D193"/>
    <mergeCell ref="E187:E193"/>
    <mergeCell ref="F187:F193"/>
    <mergeCell ref="G187:G193"/>
    <mergeCell ref="H187:H193"/>
    <mergeCell ref="I187:I193"/>
    <mergeCell ref="J187:J193"/>
    <mergeCell ref="K187:K193"/>
    <mergeCell ref="O187:O193"/>
    <mergeCell ref="P187:P193"/>
    <mergeCell ref="Q187:Q193"/>
    <mergeCell ref="R187:R193"/>
    <mergeCell ref="L188:L189"/>
    <mergeCell ref="M188:M189"/>
    <mergeCell ref="L190:L191"/>
    <mergeCell ref="M190:M191"/>
    <mergeCell ref="A196:A197"/>
    <mergeCell ref="B196:B197"/>
    <mergeCell ref="C196:C197"/>
    <mergeCell ref="D196:D197"/>
    <mergeCell ref="E196:E197"/>
    <mergeCell ref="F196:F197"/>
    <mergeCell ref="H196:H197"/>
    <mergeCell ref="I196:I197"/>
    <mergeCell ref="J196:J197"/>
    <mergeCell ref="K196:K197"/>
    <mergeCell ref="O196:O197"/>
    <mergeCell ref="P196:P197"/>
    <mergeCell ref="Q196:Q197"/>
    <mergeCell ref="R196:R197"/>
    <mergeCell ref="D199:D201"/>
    <mergeCell ref="O199:O201"/>
    <mergeCell ref="P199:P201"/>
    <mergeCell ref="A200:A201"/>
    <mergeCell ref="B200:B201"/>
    <mergeCell ref="C200:C201"/>
    <mergeCell ref="E200:E201"/>
    <mergeCell ref="F200:F201"/>
    <mergeCell ref="G200:G201"/>
    <mergeCell ref="I200:I201"/>
    <mergeCell ref="J200:J201"/>
    <mergeCell ref="K200:K201"/>
    <mergeCell ref="L200:L201"/>
    <mergeCell ref="M200:M201"/>
    <mergeCell ref="N200:N201"/>
    <mergeCell ref="Q200:Q201"/>
    <mergeCell ref="R200:R201"/>
    <mergeCell ref="A205:A206"/>
    <mergeCell ref="B205:B206"/>
    <mergeCell ref="C205:C206"/>
    <mergeCell ref="D205:D206"/>
    <mergeCell ref="E205:E206"/>
    <mergeCell ref="F205:F206"/>
    <mergeCell ref="G205:G206"/>
    <mergeCell ref="I205:I206"/>
    <mergeCell ref="L205:L206"/>
    <mergeCell ref="M205:M206"/>
    <mergeCell ref="N205:N206"/>
    <mergeCell ref="O205:O206"/>
    <mergeCell ref="P205:P206"/>
    <mergeCell ref="Q205:Q206"/>
    <mergeCell ref="R205:R206"/>
    <mergeCell ref="A208:A209"/>
    <mergeCell ref="B208:B209"/>
    <mergeCell ref="D208:D210"/>
    <mergeCell ref="F208:F209"/>
    <mergeCell ref="G208:G209"/>
    <mergeCell ref="H208:H210"/>
    <mergeCell ref="I208:I210"/>
    <mergeCell ref="J208:J210"/>
    <mergeCell ref="K208:K209"/>
    <mergeCell ref="L208:L209"/>
    <mergeCell ref="M208:M209"/>
    <mergeCell ref="N208:N209"/>
    <mergeCell ref="O208:O210"/>
    <mergeCell ref="P208:P210"/>
    <mergeCell ref="Q208:Q210"/>
    <mergeCell ref="R208:R210"/>
    <mergeCell ref="A211:A213"/>
    <mergeCell ref="B211:B213"/>
    <mergeCell ref="C211:C213"/>
    <mergeCell ref="D211:D213"/>
    <mergeCell ref="E211:E213"/>
    <mergeCell ref="F211:F213"/>
    <mergeCell ref="G211:G213"/>
    <mergeCell ref="I211:I213"/>
    <mergeCell ref="J211:J213"/>
    <mergeCell ref="K211:K213"/>
    <mergeCell ref="L211:L213"/>
    <mergeCell ref="M211:M213"/>
    <mergeCell ref="N211:N213"/>
    <mergeCell ref="O211:O213"/>
    <mergeCell ref="P211:P213"/>
    <mergeCell ref="Q211:Q213"/>
    <mergeCell ref="R211:R213"/>
    <mergeCell ref="A214:A215"/>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Q214:Q215"/>
    <mergeCell ref="R214:R215"/>
    <mergeCell ref="A217:A218"/>
    <mergeCell ref="B217:B218"/>
    <mergeCell ref="D217:D218"/>
    <mergeCell ref="E217:E218"/>
    <mergeCell ref="F217:F218"/>
    <mergeCell ref="G217:G218"/>
    <mergeCell ref="H217:H218"/>
    <mergeCell ref="L217:L218"/>
    <mergeCell ref="M217:M218"/>
    <mergeCell ref="N217:N218"/>
    <mergeCell ref="O217:O218"/>
    <mergeCell ref="P217:P218"/>
    <mergeCell ref="Q217:Q218"/>
    <mergeCell ref="R217:R218"/>
    <mergeCell ref="I218:J218"/>
    <mergeCell ref="B220:B223"/>
    <mergeCell ref="D220:D223"/>
    <mergeCell ref="E220:E223"/>
    <mergeCell ref="F220:F223"/>
    <mergeCell ref="I220:J220"/>
    <mergeCell ref="A221:A222"/>
    <mergeCell ref="C221:C222"/>
    <mergeCell ref="G221:G222"/>
    <mergeCell ref="I221:I222"/>
    <mergeCell ref="J221:J222"/>
    <mergeCell ref="K221:K222"/>
    <mergeCell ref="L221:L222"/>
    <mergeCell ref="M221:M222"/>
    <mergeCell ref="N221:N222"/>
    <mergeCell ref="O221:O222"/>
    <mergeCell ref="P221:P222"/>
    <mergeCell ref="Q221:Q222"/>
    <mergeCell ref="R221:R222"/>
    <mergeCell ref="I223:J223"/>
    <mergeCell ref="A226:A227"/>
    <mergeCell ref="B226:B227"/>
    <mergeCell ref="C226:C227"/>
    <mergeCell ref="D226:D227"/>
    <mergeCell ref="E226:E227"/>
    <mergeCell ref="F226:F227"/>
    <mergeCell ref="H226:H227"/>
    <mergeCell ref="I226:I227"/>
    <mergeCell ref="J226:J227"/>
    <mergeCell ref="K226:K227"/>
    <mergeCell ref="L226:L227"/>
    <mergeCell ref="M226:M227"/>
    <mergeCell ref="N226:N227"/>
    <mergeCell ref="O226:O227"/>
    <mergeCell ref="P226:P227"/>
    <mergeCell ref="Q226:Q227"/>
    <mergeCell ref="R226:R227"/>
    <mergeCell ref="A229:A230"/>
    <mergeCell ref="B229:B230"/>
    <mergeCell ref="C229:C230"/>
    <mergeCell ref="D229:D230"/>
    <mergeCell ref="E229:E230"/>
    <mergeCell ref="F229:F230"/>
    <mergeCell ref="G229:G230"/>
    <mergeCell ref="H229:H230"/>
    <mergeCell ref="I229:I230"/>
    <mergeCell ref="K229:K230"/>
    <mergeCell ref="L229:L230"/>
    <mergeCell ref="M229:M230"/>
    <mergeCell ref="N229:N230"/>
    <mergeCell ref="O229:O230"/>
    <mergeCell ref="P229:P230"/>
    <mergeCell ref="Q229:Q230"/>
    <mergeCell ref="R229:R230"/>
    <mergeCell ref="A232:A233"/>
    <mergeCell ref="B232:B233"/>
    <mergeCell ref="C232:C233"/>
    <mergeCell ref="D232:D233"/>
    <mergeCell ref="E232:E233"/>
    <mergeCell ref="F232:F233"/>
    <mergeCell ref="G232:G233"/>
    <mergeCell ref="H232:H233"/>
    <mergeCell ref="I232:I233"/>
    <mergeCell ref="J232:J233"/>
    <mergeCell ref="K232:K233"/>
    <mergeCell ref="M232:M233"/>
    <mergeCell ref="N232:N233"/>
    <mergeCell ref="Q232:Q233"/>
    <mergeCell ref="R232:R233"/>
    <mergeCell ref="A239:A240"/>
    <mergeCell ref="B239:B240"/>
    <mergeCell ref="C239:C240"/>
    <mergeCell ref="D239:D240"/>
    <mergeCell ref="F239:F240"/>
    <mergeCell ref="G239:G240"/>
    <mergeCell ref="H239:H240"/>
    <mergeCell ref="I239:I240"/>
    <mergeCell ref="J239:J240"/>
    <mergeCell ref="K239:K240"/>
    <mergeCell ref="L239:L240"/>
    <mergeCell ref="M239:M240"/>
    <mergeCell ref="N239:N240"/>
    <mergeCell ref="O239:O240"/>
    <mergeCell ref="P239:P240"/>
    <mergeCell ref="Q239:Q240"/>
    <mergeCell ref="R239:R240"/>
    <mergeCell ref="A243:A245"/>
    <mergeCell ref="B243:B245"/>
    <mergeCell ref="C243:C245"/>
    <mergeCell ref="D243:D245"/>
    <mergeCell ref="E243:E245"/>
    <mergeCell ref="F243:F245"/>
    <mergeCell ref="G243:G245"/>
    <mergeCell ref="I243:I245"/>
    <mergeCell ref="J243:J245"/>
    <mergeCell ref="N243:N244"/>
    <mergeCell ref="O243:O245"/>
    <mergeCell ref="P243:P245"/>
    <mergeCell ref="Q243:Q245"/>
    <mergeCell ref="R243:R245"/>
    <mergeCell ref="H244:H245"/>
    <mergeCell ref="K244:K245"/>
    <mergeCell ref="A247:A249"/>
    <mergeCell ref="B247:B249"/>
    <mergeCell ref="C247:C249"/>
    <mergeCell ref="D247:D249"/>
    <mergeCell ref="E247:E249"/>
    <mergeCell ref="F247:F249"/>
    <mergeCell ref="G247:G249"/>
    <mergeCell ref="I247:I249"/>
    <mergeCell ref="J247:J249"/>
    <mergeCell ref="K247:K249"/>
    <mergeCell ref="L247:L249"/>
    <mergeCell ref="M247:M249"/>
    <mergeCell ref="N247:N249"/>
    <mergeCell ref="O247:O249"/>
    <mergeCell ref="P247:P249"/>
    <mergeCell ref="Q247:Q249"/>
    <mergeCell ref="R247:R249"/>
    <mergeCell ref="A250:A252"/>
    <mergeCell ref="B250:B252"/>
    <mergeCell ref="C250:C252"/>
    <mergeCell ref="D250:D252"/>
    <mergeCell ref="E250:E252"/>
    <mergeCell ref="G250:G252"/>
    <mergeCell ref="H250:H252"/>
    <mergeCell ref="I250:I252"/>
    <mergeCell ref="J250:J252"/>
    <mergeCell ref="K250:K252"/>
    <mergeCell ref="O250:O252"/>
    <mergeCell ref="P250:P252"/>
    <mergeCell ref="Q250:Q252"/>
    <mergeCell ref="R250:R252"/>
    <mergeCell ref="F251:F252"/>
    <mergeCell ref="L253:M253"/>
    <mergeCell ref="A254:A255"/>
    <mergeCell ref="B254:B255"/>
    <mergeCell ref="C254:C255"/>
    <mergeCell ref="D254:D255"/>
    <mergeCell ref="E254:E255"/>
    <mergeCell ref="F254:F255"/>
    <mergeCell ref="G254:G255"/>
    <mergeCell ref="I254:I255"/>
    <mergeCell ref="J254:J255"/>
    <mergeCell ref="K254:K255"/>
    <mergeCell ref="L254:L255"/>
    <mergeCell ref="M254:M255"/>
    <mergeCell ref="N254:N255"/>
    <mergeCell ref="O254:O255"/>
    <mergeCell ref="P254:P255"/>
    <mergeCell ref="Q254:Q255"/>
    <mergeCell ref="R254:R255"/>
    <mergeCell ref="A257:A259"/>
    <mergeCell ref="B257:B259"/>
    <mergeCell ref="C257:C259"/>
    <mergeCell ref="D257:D259"/>
    <mergeCell ref="E257:E259"/>
    <mergeCell ref="F257:F259"/>
    <mergeCell ref="G257:G259"/>
    <mergeCell ref="I257:I259"/>
    <mergeCell ref="J257:J259"/>
    <mergeCell ref="K257:K259"/>
    <mergeCell ref="L257:L259"/>
    <mergeCell ref="M257:M259"/>
    <mergeCell ref="N257:N259"/>
    <mergeCell ref="O257:O259"/>
    <mergeCell ref="P257:P259"/>
    <mergeCell ref="Q257:Q259"/>
    <mergeCell ref="R257:R259"/>
    <mergeCell ref="A260:A263"/>
    <mergeCell ref="B260:B263"/>
    <mergeCell ref="C260:C263"/>
    <mergeCell ref="D260:D263"/>
    <mergeCell ref="E260:E261"/>
    <mergeCell ref="F260:F263"/>
    <mergeCell ref="G260:G263"/>
    <mergeCell ref="H260:H263"/>
    <mergeCell ref="I260:I263"/>
    <mergeCell ref="J260:J263"/>
    <mergeCell ref="K260:K263"/>
    <mergeCell ref="M260:M261"/>
    <mergeCell ref="N260:N261"/>
    <mergeCell ref="O260:O263"/>
    <mergeCell ref="P260:P263"/>
    <mergeCell ref="Q260:Q263"/>
    <mergeCell ref="R260:R263"/>
    <mergeCell ref="E262:E263"/>
    <mergeCell ref="A264:A267"/>
    <mergeCell ref="B264:B268"/>
    <mergeCell ref="C264:C267"/>
    <mergeCell ref="D264:D271"/>
    <mergeCell ref="E264:E269"/>
    <mergeCell ref="F264:F271"/>
    <mergeCell ref="G264:G265"/>
    <mergeCell ref="H264:H267"/>
    <mergeCell ref="I264:I267"/>
    <mergeCell ref="J264:J267"/>
    <mergeCell ref="K264:K267"/>
    <mergeCell ref="O264:O270"/>
    <mergeCell ref="P264:P270"/>
    <mergeCell ref="Q264:Q270"/>
    <mergeCell ref="R264:R270"/>
    <mergeCell ref="M265:M266"/>
    <mergeCell ref="G266:G268"/>
    <mergeCell ref="A274:A275"/>
    <mergeCell ref="B274:B275"/>
    <mergeCell ref="C274:C275"/>
    <mergeCell ref="D274:D275"/>
    <mergeCell ref="E274:E275"/>
    <mergeCell ref="F274:F275"/>
    <mergeCell ref="G274:G275"/>
    <mergeCell ref="H274:H275"/>
    <mergeCell ref="L274:L275"/>
    <mergeCell ref="M274:M275"/>
    <mergeCell ref="N274:N275"/>
    <mergeCell ref="O274:O275"/>
    <mergeCell ref="P274:P275"/>
    <mergeCell ref="Q274:Q275"/>
    <mergeCell ref="R274:R275"/>
    <mergeCell ref="A276:A280"/>
    <mergeCell ref="B276:B280"/>
    <mergeCell ref="C276:C280"/>
    <mergeCell ref="D276:D280"/>
    <mergeCell ref="F276:F280"/>
    <mergeCell ref="G276:G280"/>
    <mergeCell ref="H276:H277"/>
    <mergeCell ref="I276:J276"/>
    <mergeCell ref="M276:N276"/>
    <mergeCell ref="O276:O280"/>
    <mergeCell ref="P276:P280"/>
    <mergeCell ref="Q276:Q280"/>
    <mergeCell ref="R276:R280"/>
    <mergeCell ref="I277:J277"/>
    <mergeCell ref="M277:N277"/>
    <mergeCell ref="I278:J278"/>
    <mergeCell ref="M278:N278"/>
    <mergeCell ref="H279:H280"/>
    <mergeCell ref="I279:J279"/>
    <mergeCell ref="M279:N279"/>
    <mergeCell ref="I280:J280"/>
    <mergeCell ref="M280:N280"/>
    <mergeCell ref="A284:A287"/>
    <mergeCell ref="B284:B287"/>
    <mergeCell ref="C284:C287"/>
    <mergeCell ref="D284:D287"/>
    <mergeCell ref="F284:F287"/>
    <mergeCell ref="H284:H287"/>
    <mergeCell ref="I284:I287"/>
    <mergeCell ref="J284:J287"/>
    <mergeCell ref="K284:K287"/>
    <mergeCell ref="M284:N284"/>
    <mergeCell ref="O284:O287"/>
    <mergeCell ref="P284:P287"/>
    <mergeCell ref="Q284:Q287"/>
    <mergeCell ref="R284:R287"/>
    <mergeCell ref="L285:L286"/>
    <mergeCell ref="M285:N286"/>
    <mergeCell ref="M287:N287"/>
    <mergeCell ref="A288:A291"/>
    <mergeCell ref="B288:B291"/>
    <mergeCell ref="C288:C291"/>
    <mergeCell ref="D288:D291"/>
    <mergeCell ref="E288:E291"/>
    <mergeCell ref="F288:F291"/>
    <mergeCell ref="G288:G291"/>
    <mergeCell ref="H288:H291"/>
    <mergeCell ref="I288:I291"/>
    <mergeCell ref="J288:J291"/>
    <mergeCell ref="K288:K291"/>
    <mergeCell ref="M288:M289"/>
    <mergeCell ref="N288:N289"/>
    <mergeCell ref="O288:O291"/>
    <mergeCell ref="P288:P291"/>
    <mergeCell ref="Q288:Q291"/>
    <mergeCell ref="R288:R291"/>
    <mergeCell ref="A292:A296"/>
    <mergeCell ref="B292:B296"/>
    <mergeCell ref="C292:C296"/>
    <mergeCell ref="D292:D296"/>
    <mergeCell ref="E292:E296"/>
    <mergeCell ref="F292:F296"/>
    <mergeCell ref="G292:G296"/>
    <mergeCell ref="I292:I296"/>
    <mergeCell ref="J292:J296"/>
    <mergeCell ref="K292:K296"/>
    <mergeCell ref="L292:L296"/>
    <mergeCell ref="M292:M296"/>
    <mergeCell ref="N292:N296"/>
    <mergeCell ref="O292:O296"/>
    <mergeCell ref="P292:P296"/>
    <mergeCell ref="Q292:Q296"/>
    <mergeCell ref="R292:R296"/>
    <mergeCell ref="A297:A300"/>
    <mergeCell ref="B297:B300"/>
    <mergeCell ref="C297:C298"/>
    <mergeCell ref="D297:D300"/>
    <mergeCell ref="E297:E300"/>
    <mergeCell ref="F297:F300"/>
    <mergeCell ref="G297:G300"/>
    <mergeCell ref="I297:I300"/>
    <mergeCell ref="J297:J300"/>
    <mergeCell ref="K297:K300"/>
    <mergeCell ref="L297:L300"/>
    <mergeCell ref="M297:M300"/>
    <mergeCell ref="N297:N300"/>
    <mergeCell ref="O297:O300"/>
    <mergeCell ref="P297:P300"/>
    <mergeCell ref="Q297:Q300"/>
    <mergeCell ref="R297:R300"/>
    <mergeCell ref="C299:C300"/>
    <mergeCell ref="I302:K302"/>
    <mergeCell ref="A303:A307"/>
    <mergeCell ref="B303:B307"/>
    <mergeCell ref="C303:C307"/>
    <mergeCell ref="D303:D307"/>
    <mergeCell ref="E303:E307"/>
    <mergeCell ref="F303:F307"/>
    <mergeCell ref="G303:G307"/>
    <mergeCell ref="H303:H307"/>
    <mergeCell ref="I303:I307"/>
    <mergeCell ref="J303:J307"/>
    <mergeCell ref="K303:K307"/>
    <mergeCell ref="L303:L304"/>
    <mergeCell ref="N303:N305"/>
    <mergeCell ref="O303:O307"/>
    <mergeCell ref="P303:P307"/>
    <mergeCell ref="Q303:Q307"/>
    <mergeCell ref="R303:R307"/>
    <mergeCell ref="L305:L306"/>
    <mergeCell ref="M307:N307"/>
    <mergeCell ref="A308:A311"/>
    <mergeCell ref="B308:B311"/>
    <mergeCell ref="C308:C309"/>
    <mergeCell ref="D308:D311"/>
    <mergeCell ref="E308:E311"/>
    <mergeCell ref="F308:F311"/>
    <mergeCell ref="G308:G311"/>
    <mergeCell ref="I308:I311"/>
    <mergeCell ref="J308:J311"/>
    <mergeCell ref="K308:K311"/>
    <mergeCell ref="L308:L311"/>
    <mergeCell ref="M308:M311"/>
    <mergeCell ref="N308:N311"/>
    <mergeCell ref="O308:O311"/>
    <mergeCell ref="P308:P311"/>
    <mergeCell ref="Q308:Q311"/>
    <mergeCell ref="R308:R311"/>
    <mergeCell ref="C310:C311"/>
    <mergeCell ref="A312:A314"/>
    <mergeCell ref="B312:B314"/>
    <mergeCell ref="C312:C314"/>
    <mergeCell ref="D312:D314"/>
    <mergeCell ref="E312:E314"/>
    <mergeCell ref="F312:F314"/>
    <mergeCell ref="G312:G314"/>
    <mergeCell ref="H312:H314"/>
    <mergeCell ref="I312:I314"/>
    <mergeCell ref="J312:J314"/>
    <mergeCell ref="K312:K314"/>
    <mergeCell ref="M312:N312"/>
    <mergeCell ref="O312:O314"/>
    <mergeCell ref="Q312:Q314"/>
    <mergeCell ref="R312:R314"/>
    <mergeCell ref="M313:N313"/>
    <mergeCell ref="P313:P314"/>
    <mergeCell ref="M314:N314"/>
    <mergeCell ref="A315:A319"/>
    <mergeCell ref="B315:B319"/>
    <mergeCell ref="C315:C319"/>
    <mergeCell ref="D315:D319"/>
    <mergeCell ref="E315:E319"/>
    <mergeCell ref="F315:F319"/>
    <mergeCell ref="G315:G319"/>
    <mergeCell ref="I315:I319"/>
    <mergeCell ref="J315:J319"/>
    <mergeCell ref="K315:K319"/>
    <mergeCell ref="L315:L319"/>
    <mergeCell ref="M315:M319"/>
    <mergeCell ref="N315:N319"/>
    <mergeCell ref="O315:O319"/>
    <mergeCell ref="P315:P319"/>
    <mergeCell ref="Q315:Q319"/>
    <mergeCell ref="R315:R319"/>
    <mergeCell ref="A320:A321"/>
    <mergeCell ref="B320:B321"/>
    <mergeCell ref="C320:C321"/>
    <mergeCell ref="D320:D321"/>
    <mergeCell ref="E320:E321"/>
    <mergeCell ref="F320:F321"/>
    <mergeCell ref="G320:G321"/>
    <mergeCell ref="I320:I321"/>
    <mergeCell ref="J320:J321"/>
    <mergeCell ref="K320:K321"/>
    <mergeCell ref="L320:L321"/>
    <mergeCell ref="M320:M321"/>
    <mergeCell ref="N320:N321"/>
    <mergeCell ref="O320:O321"/>
    <mergeCell ref="P320:P321"/>
    <mergeCell ref="Q320:Q321"/>
    <mergeCell ref="R320:R321"/>
    <mergeCell ref="M323:N323"/>
    <mergeCell ref="A324:A325"/>
    <mergeCell ref="B324:B325"/>
    <mergeCell ref="C324:C325"/>
    <mergeCell ref="D324:D325"/>
    <mergeCell ref="E324:E325"/>
    <mergeCell ref="F324:F325"/>
    <mergeCell ref="G324:G325"/>
    <mergeCell ref="I324:I325"/>
    <mergeCell ref="J324:J325"/>
    <mergeCell ref="K324:K325"/>
    <mergeCell ref="L324:L325"/>
    <mergeCell ref="M324:M325"/>
    <mergeCell ref="N324:N325"/>
    <mergeCell ref="O324:O325"/>
    <mergeCell ref="P324:P325"/>
    <mergeCell ref="Q324:Q325"/>
    <mergeCell ref="R324:R325"/>
    <mergeCell ref="A326:A329"/>
    <mergeCell ref="B326:B329"/>
    <mergeCell ref="C326:C329"/>
    <mergeCell ref="D326:D329"/>
    <mergeCell ref="E326:E329"/>
    <mergeCell ref="F326:F329"/>
    <mergeCell ref="G326:G329"/>
    <mergeCell ref="I326:I329"/>
    <mergeCell ref="J326:J329"/>
    <mergeCell ref="K326:K329"/>
    <mergeCell ref="L326:L329"/>
    <mergeCell ref="M326:M329"/>
    <mergeCell ref="N326:N329"/>
    <mergeCell ref="O326:O329"/>
    <mergeCell ref="P326:P329"/>
    <mergeCell ref="Q326:Q329"/>
    <mergeCell ref="R326:R329"/>
    <mergeCell ref="A330:A331"/>
    <mergeCell ref="B330:B331"/>
    <mergeCell ref="C330:C331"/>
    <mergeCell ref="D330:D331"/>
    <mergeCell ref="E330:E331"/>
    <mergeCell ref="F330:F331"/>
    <mergeCell ref="G330:G331"/>
    <mergeCell ref="I330:I331"/>
    <mergeCell ref="J330:J331"/>
    <mergeCell ref="K330:K331"/>
    <mergeCell ref="L330:L331"/>
    <mergeCell ref="M330:M331"/>
    <mergeCell ref="N330:N331"/>
    <mergeCell ref="O330:O331"/>
    <mergeCell ref="P330:P331"/>
    <mergeCell ref="Q330:Q331"/>
    <mergeCell ref="R330:R331"/>
    <mergeCell ref="A334:A335"/>
    <mergeCell ref="B334:B335"/>
    <mergeCell ref="C334:C335"/>
    <mergeCell ref="D334:D335"/>
    <mergeCell ref="E334:E335"/>
    <mergeCell ref="F334:F335"/>
    <mergeCell ref="G334:G335"/>
    <mergeCell ref="H334:H335"/>
    <mergeCell ref="J334:J335"/>
    <mergeCell ref="K334:K335"/>
    <mergeCell ref="O334:O335"/>
    <mergeCell ref="P334:P335"/>
    <mergeCell ref="Q334:Q335"/>
    <mergeCell ref="R334:R335"/>
    <mergeCell ref="A336:A343"/>
    <mergeCell ref="B336:B343"/>
    <mergeCell ref="C336:C343"/>
    <mergeCell ref="D336:D343"/>
    <mergeCell ref="E336:E338"/>
    <mergeCell ref="F336:F343"/>
    <mergeCell ref="G336:G343"/>
    <mergeCell ref="H336:H343"/>
    <mergeCell ref="I336:I343"/>
    <mergeCell ref="J336:J343"/>
    <mergeCell ref="K336:K343"/>
    <mergeCell ref="O336:O343"/>
    <mergeCell ref="P336:P343"/>
    <mergeCell ref="Q336:Q343"/>
    <mergeCell ref="R336:R343"/>
    <mergeCell ref="L337:M337"/>
    <mergeCell ref="L338:M338"/>
    <mergeCell ref="E339:E341"/>
    <mergeCell ref="L339:M339"/>
    <mergeCell ref="L340:M340"/>
    <mergeCell ref="L341:M341"/>
    <mergeCell ref="E342:E343"/>
    <mergeCell ref="L342:M342"/>
    <mergeCell ref="L343:M343"/>
    <mergeCell ref="A345:A349"/>
    <mergeCell ref="B345:B349"/>
    <mergeCell ref="C345:C349"/>
    <mergeCell ref="D345:D349"/>
    <mergeCell ref="E345:E349"/>
    <mergeCell ref="F345:F349"/>
    <mergeCell ref="G345:G349"/>
    <mergeCell ref="I345:I349"/>
    <mergeCell ref="J345:J349"/>
    <mergeCell ref="K345:K349"/>
    <mergeCell ref="L345:L349"/>
    <mergeCell ref="M345:M349"/>
    <mergeCell ref="N345:N349"/>
    <mergeCell ref="O345:O349"/>
    <mergeCell ref="P345:P349"/>
    <mergeCell ref="Q345:Q349"/>
    <mergeCell ref="R345:R349"/>
    <mergeCell ref="A350:A353"/>
    <mergeCell ref="B350:B353"/>
    <mergeCell ref="C350:C353"/>
    <mergeCell ref="D350:D353"/>
    <mergeCell ref="E350:E353"/>
    <mergeCell ref="F350:F353"/>
    <mergeCell ref="G350:G353"/>
    <mergeCell ref="I350:I353"/>
    <mergeCell ref="J350:J353"/>
    <mergeCell ref="K350:K352"/>
    <mergeCell ref="L350:L353"/>
    <mergeCell ref="M350:M353"/>
    <mergeCell ref="N350:N353"/>
    <mergeCell ref="O350:O353"/>
    <mergeCell ref="P350:P353"/>
    <mergeCell ref="Q350:Q353"/>
    <mergeCell ref="R350:R353"/>
    <mergeCell ref="A354:A355"/>
    <mergeCell ref="B354:B355"/>
    <mergeCell ref="D354:D355"/>
    <mergeCell ref="E354:E355"/>
    <mergeCell ref="F354:F355"/>
    <mergeCell ref="G354:G355"/>
    <mergeCell ref="H354:H355"/>
    <mergeCell ref="I354:I355"/>
    <mergeCell ref="J354:J355"/>
    <mergeCell ref="K354:K355"/>
    <mergeCell ref="L354:L355"/>
    <mergeCell ref="M354:M355"/>
    <mergeCell ref="N354:N355"/>
    <mergeCell ref="O354:O355"/>
    <mergeCell ref="P354:P355"/>
    <mergeCell ref="Q354:Q355"/>
    <mergeCell ref="R354:R355"/>
    <mergeCell ref="A356:A359"/>
    <mergeCell ref="B356:B359"/>
    <mergeCell ref="C356:C359"/>
    <mergeCell ref="D356:D359"/>
    <mergeCell ref="E356:E359"/>
    <mergeCell ref="F356:F359"/>
    <mergeCell ref="G356:G359"/>
    <mergeCell ref="I356:I359"/>
    <mergeCell ref="J356:J359"/>
    <mergeCell ref="K356:K358"/>
    <mergeCell ref="L356:L359"/>
    <mergeCell ref="M356:M359"/>
    <mergeCell ref="N356:N359"/>
    <mergeCell ref="O356:O359"/>
    <mergeCell ref="P356:P359"/>
    <mergeCell ref="Q356:Q359"/>
    <mergeCell ref="R356:R359"/>
    <mergeCell ref="A360:A361"/>
    <mergeCell ref="B360:B361"/>
    <mergeCell ref="C360:C361"/>
    <mergeCell ref="D360:D361"/>
    <mergeCell ref="E360:E361"/>
    <mergeCell ref="F360:F361"/>
    <mergeCell ref="G360:G361"/>
    <mergeCell ref="I360:I361"/>
    <mergeCell ref="J360:J361"/>
    <mergeCell ref="K360:K361"/>
    <mergeCell ref="L360:L361"/>
    <mergeCell ref="M360:M361"/>
    <mergeCell ref="N360:N361"/>
    <mergeCell ref="O360:O361"/>
    <mergeCell ref="P360:P361"/>
    <mergeCell ref="Q360:Q361"/>
    <mergeCell ref="R360:R361"/>
    <mergeCell ref="D363:D365"/>
    <mergeCell ref="O363:O365"/>
    <mergeCell ref="P363:P365"/>
    <mergeCell ref="A364:A365"/>
    <mergeCell ref="B364:B365"/>
    <mergeCell ref="C364:C365"/>
    <mergeCell ref="E364:E365"/>
    <mergeCell ref="F364:F365"/>
    <mergeCell ref="I364:I365"/>
    <mergeCell ref="J364:J365"/>
    <mergeCell ref="K364:K365"/>
    <mergeCell ref="L364:L365"/>
    <mergeCell ref="M364:M365"/>
    <mergeCell ref="N364:N365"/>
    <mergeCell ref="Q364:Q365"/>
    <mergeCell ref="R364:R365"/>
    <mergeCell ref="A366:A368"/>
    <mergeCell ref="B366:B368"/>
    <mergeCell ref="C366:C368"/>
    <mergeCell ref="D366:D368"/>
    <mergeCell ref="E366:E368"/>
    <mergeCell ref="F366:F368"/>
    <mergeCell ref="G366:G368"/>
    <mergeCell ref="I366:I368"/>
    <mergeCell ref="J366:J368"/>
    <mergeCell ref="K366:K368"/>
    <mergeCell ref="L366:L368"/>
    <mergeCell ref="M366:M368"/>
    <mergeCell ref="N366:N368"/>
    <mergeCell ref="O366:O368"/>
    <mergeCell ref="P366:P368"/>
    <mergeCell ref="Q366:Q368"/>
    <mergeCell ref="R366:R368"/>
    <mergeCell ref="A370:A371"/>
    <mergeCell ref="B370:B371"/>
    <mergeCell ref="C370:C371"/>
    <mergeCell ref="D370:D371"/>
    <mergeCell ref="E370:E371"/>
    <mergeCell ref="F370:F371"/>
    <mergeCell ref="G370:G371"/>
    <mergeCell ref="H370:H371"/>
    <mergeCell ref="I370:I371"/>
    <mergeCell ref="J370:J371"/>
    <mergeCell ref="K370:K371"/>
    <mergeCell ref="O370:O371"/>
    <mergeCell ref="P370:P371"/>
    <mergeCell ref="Q370:Q371"/>
    <mergeCell ref="R370:R371"/>
    <mergeCell ref="A372:A375"/>
    <mergeCell ref="B372:B375"/>
    <mergeCell ref="E372:E375"/>
    <mergeCell ref="F372:F375"/>
    <mergeCell ref="G372:G375"/>
    <mergeCell ref="I372:I375"/>
    <mergeCell ref="J372:J375"/>
    <mergeCell ref="K372:K375"/>
    <mergeCell ref="L372:L375"/>
    <mergeCell ref="M372:M375"/>
    <mergeCell ref="N372:N375"/>
    <mergeCell ref="O372:O375"/>
    <mergeCell ref="P372:P375"/>
    <mergeCell ref="Q372:Q375"/>
    <mergeCell ref="R372:R375"/>
    <mergeCell ref="C373:D375"/>
    <mergeCell ref="B376:B377"/>
    <mergeCell ref="D376:D378"/>
    <mergeCell ref="F376:F377"/>
    <mergeCell ref="H376:H377"/>
    <mergeCell ref="N376:N377"/>
    <mergeCell ref="O376:O378"/>
    <mergeCell ref="P376:P378"/>
    <mergeCell ref="Q376:Q378"/>
    <mergeCell ref="R376:R378"/>
    <mergeCell ref="I377:K377"/>
    <mergeCell ref="A379:A380"/>
    <mergeCell ref="B379:B380"/>
    <mergeCell ref="C379:C380"/>
    <mergeCell ref="D379:D380"/>
    <mergeCell ref="E379:E380"/>
    <mergeCell ref="F379:F380"/>
    <mergeCell ref="G379:G380"/>
    <mergeCell ref="H379:H380"/>
    <mergeCell ref="I379:I380"/>
    <mergeCell ref="J379:J380"/>
    <mergeCell ref="K379:K380"/>
    <mergeCell ref="L379:L380"/>
    <mergeCell ref="M379:M380"/>
    <mergeCell ref="N379:N380"/>
    <mergeCell ref="O379:O380"/>
    <mergeCell ref="P379:P380"/>
    <mergeCell ref="Q379:Q380"/>
    <mergeCell ref="R379:R380"/>
    <mergeCell ref="A381:A382"/>
    <mergeCell ref="B381:B382"/>
    <mergeCell ref="D381:D382"/>
    <mergeCell ref="F381:F382"/>
    <mergeCell ref="G381:G382"/>
    <mergeCell ref="H381:H382"/>
    <mergeCell ref="I381:I382"/>
    <mergeCell ref="J381:J382"/>
    <mergeCell ref="K381:K382"/>
    <mergeCell ref="L381:L382"/>
    <mergeCell ref="M381:M382"/>
    <mergeCell ref="N381:N382"/>
    <mergeCell ref="O381:O382"/>
    <mergeCell ref="P381:P382"/>
    <mergeCell ref="Q381:Q382"/>
    <mergeCell ref="R381:R382"/>
    <mergeCell ref="A390:A394"/>
    <mergeCell ref="B390:B394"/>
    <mergeCell ref="C390:C394"/>
    <mergeCell ref="D390:D394"/>
    <mergeCell ref="E390:E394"/>
    <mergeCell ref="F390:F394"/>
    <mergeCell ref="G390:G394"/>
    <mergeCell ref="I390:I394"/>
    <mergeCell ref="J390:J394"/>
    <mergeCell ref="K390:K394"/>
    <mergeCell ref="L390:L394"/>
    <mergeCell ref="M390:M394"/>
    <mergeCell ref="N390:N394"/>
    <mergeCell ref="O390:O394"/>
    <mergeCell ref="P390:P394"/>
    <mergeCell ref="Q390:Q394"/>
    <mergeCell ref="R390:R394"/>
    <mergeCell ref="A399:A402"/>
    <mergeCell ref="B399:B402"/>
    <mergeCell ref="C399:C402"/>
    <mergeCell ref="D399:D402"/>
    <mergeCell ref="E399:E402"/>
    <mergeCell ref="F399:F400"/>
    <mergeCell ref="G399:G402"/>
    <mergeCell ref="I399:I402"/>
    <mergeCell ref="J399:J402"/>
    <mergeCell ref="K399:K402"/>
    <mergeCell ref="L399:L402"/>
    <mergeCell ref="M399:M402"/>
    <mergeCell ref="N399:N402"/>
    <mergeCell ref="O399:O402"/>
    <mergeCell ref="P399:P402"/>
    <mergeCell ref="Q399:Q402"/>
    <mergeCell ref="R399:R402"/>
    <mergeCell ref="F401:F402"/>
    <mergeCell ref="A403:A406"/>
    <mergeCell ref="B403:B406"/>
    <mergeCell ref="C403:C406"/>
    <mergeCell ref="D403:D406"/>
    <mergeCell ref="E403:E406"/>
    <mergeCell ref="F403:F406"/>
    <mergeCell ref="G403:G406"/>
    <mergeCell ref="I403:I406"/>
    <mergeCell ref="J403:J406"/>
    <mergeCell ref="K403:K406"/>
    <mergeCell ref="L403:L406"/>
    <mergeCell ref="M403:M406"/>
    <mergeCell ref="N403:N406"/>
    <mergeCell ref="O403:O406"/>
    <mergeCell ref="P403:P406"/>
    <mergeCell ref="Q403:Q406"/>
    <mergeCell ref="R403:R406"/>
    <mergeCell ref="A409:A410"/>
    <mergeCell ref="B409:B410"/>
    <mergeCell ref="D409:D410"/>
    <mergeCell ref="E409:E410"/>
    <mergeCell ref="F409:F410"/>
    <mergeCell ref="G409:G410"/>
    <mergeCell ref="H409:H410"/>
    <mergeCell ref="I409:I410"/>
    <mergeCell ref="J409:J410"/>
    <mergeCell ref="K409:K410"/>
    <mergeCell ref="L409:L410"/>
    <mergeCell ref="M409:M410"/>
    <mergeCell ref="N409:N410"/>
    <mergeCell ref="O409:O410"/>
    <mergeCell ref="P409:P410"/>
    <mergeCell ref="Q409:Q410"/>
    <mergeCell ref="R409:R410"/>
    <mergeCell ref="L412:L413"/>
    <mergeCell ref="M412:M413"/>
    <mergeCell ref="N412:N413"/>
    <mergeCell ref="A414:A415"/>
    <mergeCell ref="B414:B415"/>
    <mergeCell ref="C414:C415"/>
    <mergeCell ref="D414:D415"/>
    <mergeCell ref="E414:E415"/>
    <mergeCell ref="F414:F415"/>
    <mergeCell ref="G414:G415"/>
    <mergeCell ref="I414:I415"/>
    <mergeCell ref="J414:J415"/>
    <mergeCell ref="K414:K415"/>
    <mergeCell ref="M414:M415"/>
    <mergeCell ref="N414:N415"/>
    <mergeCell ref="O414:O415"/>
    <mergeCell ref="P414:P415"/>
    <mergeCell ref="Q414:Q415"/>
    <mergeCell ref="R414:R415"/>
    <mergeCell ref="A416:A417"/>
    <mergeCell ref="B416:B417"/>
    <mergeCell ref="C416:C417"/>
    <mergeCell ref="D416:D417"/>
    <mergeCell ref="E416:E417"/>
    <mergeCell ref="F416:F417"/>
    <mergeCell ref="I416:J417"/>
    <mergeCell ref="K416:K417"/>
    <mergeCell ref="O416:O417"/>
    <mergeCell ref="P416:P417"/>
    <mergeCell ref="Q416:Q417"/>
    <mergeCell ref="R416:R417"/>
    <mergeCell ref="A418:A419"/>
    <mergeCell ref="B418:B419"/>
    <mergeCell ref="C418:C419"/>
    <mergeCell ref="D418:D419"/>
    <mergeCell ref="E418:E419"/>
    <mergeCell ref="F418:F419"/>
    <mergeCell ref="G418:G419"/>
    <mergeCell ref="H418:H419"/>
    <mergeCell ref="I418:I419"/>
    <mergeCell ref="K418:K419"/>
    <mergeCell ref="L418:L419"/>
    <mergeCell ref="M418:M419"/>
    <mergeCell ref="N418:N419"/>
    <mergeCell ref="O418:O419"/>
    <mergeCell ref="P418:P419"/>
    <mergeCell ref="Q418:Q419"/>
    <mergeCell ref="R418:R419"/>
    <mergeCell ref="A420:A421"/>
    <mergeCell ref="B420:B421"/>
    <mergeCell ref="D420:D421"/>
    <mergeCell ref="E420:E421"/>
    <mergeCell ref="F420:F421"/>
    <mergeCell ref="H420:H421"/>
    <mergeCell ref="I420:I421"/>
    <mergeCell ref="J420:J421"/>
    <mergeCell ref="K420:K421"/>
    <mergeCell ref="L420:L421"/>
    <mergeCell ref="M420:M421"/>
    <mergeCell ref="N420:N421"/>
    <mergeCell ref="O420:O421"/>
    <mergeCell ref="P420:P421"/>
    <mergeCell ref="Q420:Q421"/>
    <mergeCell ref="R420:R421"/>
    <mergeCell ref="C424:D424"/>
    <mergeCell ref="A426:A428"/>
    <mergeCell ref="B426:B428"/>
    <mergeCell ref="C426:C428"/>
    <mergeCell ref="D426:D428"/>
    <mergeCell ref="E426:E428"/>
    <mergeCell ref="F426:F428"/>
    <mergeCell ref="G426:G428"/>
    <mergeCell ref="H426:H428"/>
    <mergeCell ref="I426:I428"/>
    <mergeCell ref="J426:J428"/>
    <mergeCell ref="K426:K428"/>
    <mergeCell ref="O426:O428"/>
    <mergeCell ref="P426:P428"/>
    <mergeCell ref="Q426:Q428"/>
    <mergeCell ref="R426:R428"/>
    <mergeCell ref="L427:L428"/>
    <mergeCell ref="M427:M428"/>
    <mergeCell ref="A429:A433"/>
    <mergeCell ref="B429:B433"/>
    <mergeCell ref="C429:C430"/>
    <mergeCell ref="D429:D433"/>
    <mergeCell ref="E429:E433"/>
    <mergeCell ref="F429:F433"/>
    <mergeCell ref="G429:G433"/>
    <mergeCell ref="I429:I433"/>
    <mergeCell ref="J429:J433"/>
    <mergeCell ref="K429:K433"/>
    <mergeCell ref="L429:L433"/>
    <mergeCell ref="M429:M433"/>
    <mergeCell ref="N429:N433"/>
    <mergeCell ref="O429:O433"/>
    <mergeCell ref="P429:P433"/>
    <mergeCell ref="Q429:Q433"/>
    <mergeCell ref="R429:R433"/>
    <mergeCell ref="C431:C433"/>
    <mergeCell ref="A434:A436"/>
    <mergeCell ref="B434:B436"/>
    <mergeCell ref="C434:C436"/>
    <mergeCell ref="D434:D436"/>
    <mergeCell ref="E434:E436"/>
    <mergeCell ref="F434:F436"/>
    <mergeCell ref="G434:G436"/>
    <mergeCell ref="H434:H436"/>
    <mergeCell ref="I434:I436"/>
    <mergeCell ref="J434:J436"/>
    <mergeCell ref="K434:K436"/>
    <mergeCell ref="N434:N436"/>
    <mergeCell ref="O434:O436"/>
    <mergeCell ref="P434:P436"/>
    <mergeCell ref="Q434:Q436"/>
    <mergeCell ref="R434:R436"/>
    <mergeCell ref="M435:M436"/>
    <mergeCell ref="A437:A438"/>
    <mergeCell ref="B437:B438"/>
    <mergeCell ref="C437:C438"/>
    <mergeCell ref="D437:D438"/>
    <mergeCell ref="E437:E438"/>
    <mergeCell ref="F437:F438"/>
    <mergeCell ref="G437:G438"/>
    <mergeCell ref="I437:I438"/>
    <mergeCell ref="J437:J438"/>
    <mergeCell ref="K437:K438"/>
    <mergeCell ref="N437:N438"/>
    <mergeCell ref="Q437:Q438"/>
    <mergeCell ref="R437:R438"/>
    <mergeCell ref="A440:A441"/>
    <mergeCell ref="B440:B441"/>
    <mergeCell ref="C440:C441"/>
    <mergeCell ref="D440:D441"/>
    <mergeCell ref="E440:E441"/>
    <mergeCell ref="F440:F441"/>
    <mergeCell ref="G440:G441"/>
    <mergeCell ref="I440:I441"/>
    <mergeCell ref="J440:J441"/>
    <mergeCell ref="K440:K441"/>
    <mergeCell ref="L440:L441"/>
    <mergeCell ref="M440:M441"/>
    <mergeCell ref="N440:N441"/>
    <mergeCell ref="O440:O441"/>
    <mergeCell ref="P440:P441"/>
    <mergeCell ref="Q440:Q441"/>
    <mergeCell ref="R440:R441"/>
    <mergeCell ref="A442:A443"/>
    <mergeCell ref="B442:B443"/>
    <mergeCell ref="C442:C443"/>
    <mergeCell ref="D442:D443"/>
    <mergeCell ref="G442:G443"/>
    <mergeCell ref="H442:H443"/>
    <mergeCell ref="I442:I443"/>
    <mergeCell ref="J442:J443"/>
    <mergeCell ref="K442:K443"/>
    <mergeCell ref="L442:L443"/>
    <mergeCell ref="M442:M443"/>
    <mergeCell ref="O442:O443"/>
    <mergeCell ref="P442:P443"/>
    <mergeCell ref="Q442:Q443"/>
    <mergeCell ref="R442:R443"/>
    <mergeCell ref="A445:A446"/>
    <mergeCell ref="B445:B446"/>
    <mergeCell ref="C445:C446"/>
    <mergeCell ref="D445:D446"/>
    <mergeCell ref="E445:E446"/>
    <mergeCell ref="F445:F446"/>
    <mergeCell ref="G445:G446"/>
    <mergeCell ref="I445:I446"/>
    <mergeCell ref="J445:J446"/>
    <mergeCell ref="K445:K446"/>
    <mergeCell ref="O445:O446"/>
    <mergeCell ref="P445:P446"/>
    <mergeCell ref="Q445:Q446"/>
    <mergeCell ref="R445:R446"/>
    <mergeCell ref="M446:N446"/>
    <mergeCell ref="A448:A449"/>
    <mergeCell ref="B448:B449"/>
    <mergeCell ref="C448:C449"/>
    <mergeCell ref="D448:D449"/>
    <mergeCell ref="E448:E449"/>
    <mergeCell ref="F448:F449"/>
    <mergeCell ref="G448:G449"/>
    <mergeCell ref="I448:I449"/>
    <mergeCell ref="J448:J449"/>
    <mergeCell ref="K448:K449"/>
    <mergeCell ref="L448:L449"/>
    <mergeCell ref="M448:M449"/>
    <mergeCell ref="N448:N449"/>
    <mergeCell ref="O448:O449"/>
    <mergeCell ref="P448:P449"/>
    <mergeCell ref="Q448:Q449"/>
    <mergeCell ref="R448:R449"/>
    <mergeCell ref="A450:A455"/>
    <mergeCell ref="B450:B455"/>
    <mergeCell ref="C450:C455"/>
    <mergeCell ref="D450:D455"/>
    <mergeCell ref="E450:E455"/>
    <mergeCell ref="F450:F455"/>
    <mergeCell ref="G450:G455"/>
    <mergeCell ref="H450:H455"/>
    <mergeCell ref="I450:I455"/>
    <mergeCell ref="J450:J455"/>
    <mergeCell ref="K450:K455"/>
    <mergeCell ref="L450:N450"/>
    <mergeCell ref="O450:O455"/>
    <mergeCell ref="P450:P455"/>
    <mergeCell ref="Q450:Q455"/>
    <mergeCell ref="R450:R455"/>
    <mergeCell ref="L451:N451"/>
    <mergeCell ref="L452:N452"/>
    <mergeCell ref="L453:N453"/>
    <mergeCell ref="L454:N454"/>
    <mergeCell ref="L455:N455"/>
    <mergeCell ref="A457:A460"/>
    <mergeCell ref="B457:B460"/>
    <mergeCell ref="C457:C460"/>
    <mergeCell ref="D457:D460"/>
    <mergeCell ref="E457:E460"/>
    <mergeCell ref="F457:F460"/>
    <mergeCell ref="G457:G460"/>
    <mergeCell ref="I457:I460"/>
    <mergeCell ref="J457:J460"/>
    <mergeCell ref="K457:K460"/>
    <mergeCell ref="L457:L460"/>
    <mergeCell ref="M457:M460"/>
    <mergeCell ref="N457:N460"/>
    <mergeCell ref="O457:O460"/>
    <mergeCell ref="P457:P460"/>
    <mergeCell ref="Q457:Q460"/>
    <mergeCell ref="R457:R460"/>
    <mergeCell ref="A461:A464"/>
    <mergeCell ref="B461:B464"/>
    <mergeCell ref="C461:C462"/>
    <mergeCell ref="D461:D464"/>
    <mergeCell ref="E461:E464"/>
    <mergeCell ref="F461:F464"/>
    <mergeCell ref="G461:G464"/>
    <mergeCell ref="I461:I464"/>
    <mergeCell ref="J461:J464"/>
    <mergeCell ref="K461:K464"/>
    <mergeCell ref="L461:L464"/>
    <mergeCell ref="M461:M464"/>
    <mergeCell ref="N461:N462"/>
    <mergeCell ref="O461:O464"/>
    <mergeCell ref="P461:P464"/>
    <mergeCell ref="Q461:Q464"/>
    <mergeCell ref="R461:R464"/>
    <mergeCell ref="C463:C464"/>
    <mergeCell ref="N463:N464"/>
    <mergeCell ref="A467:A470"/>
    <mergeCell ref="B467:B470"/>
    <mergeCell ref="C467:C468"/>
    <mergeCell ref="D467:D470"/>
    <mergeCell ref="E467:E470"/>
    <mergeCell ref="F467:F470"/>
    <mergeCell ref="G467:G468"/>
    <mergeCell ref="H467:H470"/>
    <mergeCell ref="I467:I470"/>
    <mergeCell ref="J467:J470"/>
    <mergeCell ref="K467:K470"/>
    <mergeCell ref="O467:O470"/>
    <mergeCell ref="P467:P470"/>
    <mergeCell ref="Q467:Q470"/>
    <mergeCell ref="R467:R470"/>
    <mergeCell ref="C469:C470"/>
    <mergeCell ref="G469:G470"/>
    <mergeCell ref="A472:A474"/>
    <mergeCell ref="B472:B474"/>
    <mergeCell ref="C472:C474"/>
    <mergeCell ref="D472:D474"/>
    <mergeCell ref="E472:E474"/>
    <mergeCell ref="F472:F474"/>
    <mergeCell ref="G472:G474"/>
    <mergeCell ref="I472:I474"/>
    <mergeCell ref="J472:J474"/>
    <mergeCell ref="K472:K474"/>
    <mergeCell ref="L472:L474"/>
    <mergeCell ref="M472:M474"/>
    <mergeCell ref="N472:N474"/>
    <mergeCell ref="O472:O474"/>
    <mergeCell ref="P472:P474"/>
    <mergeCell ref="Q472:Q474"/>
    <mergeCell ref="R472:R474"/>
    <mergeCell ref="C475:D475"/>
    <mergeCell ref="A477:A478"/>
    <mergeCell ref="B477:B480"/>
    <mergeCell ref="C477:C480"/>
    <mergeCell ref="D477:D480"/>
    <mergeCell ref="E477:E480"/>
    <mergeCell ref="F477:F480"/>
    <mergeCell ref="G477:G478"/>
    <mergeCell ref="H477:H478"/>
    <mergeCell ref="I477:J478"/>
    <mergeCell ref="K477:K478"/>
    <mergeCell ref="O477:O478"/>
    <mergeCell ref="P477:P478"/>
    <mergeCell ref="Q477:Q480"/>
    <mergeCell ref="R477:R480"/>
    <mergeCell ref="O479:O480"/>
    <mergeCell ref="P479:P480"/>
    <mergeCell ref="A485:A486"/>
    <mergeCell ref="B485:B486"/>
    <mergeCell ref="C485:C486"/>
    <mergeCell ref="D485:D486"/>
    <mergeCell ref="E485:E486"/>
    <mergeCell ref="F485:F486"/>
    <mergeCell ref="G485:G486"/>
    <mergeCell ref="I485:I486"/>
    <mergeCell ref="J485:J486"/>
    <mergeCell ref="K485:K486"/>
    <mergeCell ref="L485:L486"/>
    <mergeCell ref="M485:M486"/>
    <mergeCell ref="N485:N486"/>
    <mergeCell ref="O485:O486"/>
    <mergeCell ref="P485:P486"/>
    <mergeCell ref="Q485:Q486"/>
    <mergeCell ref="A488:A491"/>
    <mergeCell ref="B488:B491"/>
    <mergeCell ref="C488:C491"/>
    <mergeCell ref="D488:D491"/>
    <mergeCell ref="E488:E491"/>
    <mergeCell ref="F488:F491"/>
    <mergeCell ref="G488:G491"/>
    <mergeCell ref="I488:I491"/>
    <mergeCell ref="J488:J491"/>
    <mergeCell ref="K488:K491"/>
    <mergeCell ref="L488:L491"/>
    <mergeCell ref="M488:M491"/>
    <mergeCell ref="N488:N491"/>
    <mergeCell ref="O488:O491"/>
    <mergeCell ref="P488:P491"/>
    <mergeCell ref="Q488:Q491"/>
    <mergeCell ref="R488:R491"/>
    <mergeCell ref="A492:A494"/>
    <mergeCell ref="B492:B494"/>
    <mergeCell ref="C492:C494"/>
    <mergeCell ref="D492:D494"/>
    <mergeCell ref="E492:E494"/>
    <mergeCell ref="F492:F494"/>
    <mergeCell ref="G492:G494"/>
    <mergeCell ref="H492:H494"/>
    <mergeCell ref="I492:I494"/>
    <mergeCell ref="J492:J494"/>
    <mergeCell ref="K492:K494"/>
    <mergeCell ref="M492:N492"/>
    <mergeCell ref="O492:O494"/>
    <mergeCell ref="Q492:Q494"/>
    <mergeCell ref="R492:R494"/>
    <mergeCell ref="M493:N493"/>
    <mergeCell ref="P493:P494"/>
    <mergeCell ref="M494:N494"/>
    <mergeCell ref="B496:B497"/>
    <mergeCell ref="C496:C497"/>
    <mergeCell ref="D496:D497"/>
    <mergeCell ref="F496:F497"/>
    <mergeCell ref="G496:G497"/>
    <mergeCell ref="H496:H497"/>
    <mergeCell ref="I496:I497"/>
    <mergeCell ref="J496:J497"/>
    <mergeCell ref="K496:K497"/>
    <mergeCell ref="L496:L497"/>
    <mergeCell ref="M496:M497"/>
    <mergeCell ref="N496:N497"/>
    <mergeCell ref="O496:O497"/>
    <mergeCell ref="P496:P497"/>
    <mergeCell ref="Q496:Q497"/>
    <mergeCell ref="R496:R497"/>
    <mergeCell ref="A498:A499"/>
    <mergeCell ref="B498:B499"/>
    <mergeCell ref="C498:C499"/>
    <mergeCell ref="D498:D499"/>
    <mergeCell ref="E498:E499"/>
    <mergeCell ref="F498:F499"/>
    <mergeCell ref="G498:G499"/>
    <mergeCell ref="H498:H499"/>
    <mergeCell ref="I498:I499"/>
    <mergeCell ref="J498:J499"/>
    <mergeCell ref="K498:K499"/>
    <mergeCell ref="M498:M499"/>
    <mergeCell ref="O498:O499"/>
    <mergeCell ref="P498:P499"/>
    <mergeCell ref="Q498:Q499"/>
    <mergeCell ref="R498:R499"/>
    <mergeCell ref="A500:A501"/>
    <mergeCell ref="B500:B503"/>
    <mergeCell ref="C500:C501"/>
    <mergeCell ref="D500:D503"/>
    <mergeCell ref="E500:E501"/>
    <mergeCell ref="F500:F503"/>
    <mergeCell ref="G500:G501"/>
    <mergeCell ref="H500:H503"/>
    <mergeCell ref="I500:I501"/>
    <mergeCell ref="K500:K501"/>
    <mergeCell ref="L500:L503"/>
    <mergeCell ref="M500:M503"/>
    <mergeCell ref="N500:N503"/>
    <mergeCell ref="O500:O503"/>
    <mergeCell ref="P500:P503"/>
    <mergeCell ref="Q500:Q503"/>
    <mergeCell ref="R500:R503"/>
    <mergeCell ref="D504:D505"/>
    <mergeCell ref="E504:E505"/>
    <mergeCell ref="O504:O505"/>
    <mergeCell ref="P504:P505"/>
    <mergeCell ref="Q504:Q505"/>
    <mergeCell ref="R504:R505"/>
    <mergeCell ref="A506:A509"/>
    <mergeCell ref="B506:B509"/>
    <mergeCell ref="C506:C509"/>
    <mergeCell ref="D506:D509"/>
    <mergeCell ref="E506:E509"/>
    <mergeCell ref="F506:F507"/>
    <mergeCell ref="G506:G509"/>
    <mergeCell ref="I506:I509"/>
    <mergeCell ref="J506:J509"/>
    <mergeCell ref="K506:K509"/>
    <mergeCell ref="L506:L507"/>
    <mergeCell ref="M506:M509"/>
    <mergeCell ref="N506:N509"/>
    <mergeCell ref="O506:O509"/>
    <mergeCell ref="P506:P509"/>
    <mergeCell ref="Q506:Q509"/>
    <mergeCell ref="R506:R509"/>
    <mergeCell ref="F508:F509"/>
    <mergeCell ref="L508:L509"/>
    <mergeCell ref="A510:A511"/>
    <mergeCell ref="B510:B511"/>
    <mergeCell ref="C510:C511"/>
    <mergeCell ref="D510:D511"/>
    <mergeCell ref="E510:E511"/>
    <mergeCell ref="F510:F511"/>
    <mergeCell ref="G510:G511"/>
    <mergeCell ref="I510:I511"/>
    <mergeCell ref="J510:J511"/>
    <mergeCell ref="K510:K511"/>
    <mergeCell ref="L510:L511"/>
    <mergeCell ref="M510:M511"/>
    <mergeCell ref="N510:N511"/>
    <mergeCell ref="O510:O511"/>
    <mergeCell ref="P510:P511"/>
    <mergeCell ref="Q510:Q511"/>
    <mergeCell ref="R510:R511"/>
    <mergeCell ref="A513:A518"/>
    <mergeCell ref="B513:B518"/>
    <mergeCell ref="C513:C518"/>
    <mergeCell ref="D513:D518"/>
    <mergeCell ref="E513:E518"/>
    <mergeCell ref="F513:F518"/>
    <mergeCell ref="G513:G518"/>
    <mergeCell ref="I513:I518"/>
    <mergeCell ref="J513:J518"/>
    <mergeCell ref="K513:K518"/>
    <mergeCell ref="L513:L518"/>
    <mergeCell ref="M513:M518"/>
    <mergeCell ref="N513:N518"/>
    <mergeCell ref="O513:O518"/>
    <mergeCell ref="P513:P518"/>
    <mergeCell ref="Q513:Q518"/>
    <mergeCell ref="R513:R518"/>
    <mergeCell ref="L519:M519"/>
    <mergeCell ref="A520:A521"/>
    <mergeCell ref="B520:B521"/>
    <mergeCell ref="C520:C521"/>
    <mergeCell ref="D520:D521"/>
    <mergeCell ref="E520:E521"/>
    <mergeCell ref="F520:F521"/>
    <mergeCell ref="H520:H521"/>
    <mergeCell ref="O520:O521"/>
    <mergeCell ref="P520:P521"/>
    <mergeCell ref="Q520:Q521"/>
    <mergeCell ref="R520:R521"/>
    <mergeCell ref="A522:A525"/>
    <mergeCell ref="B522:B525"/>
    <mergeCell ref="C522:C525"/>
    <mergeCell ref="D522:D525"/>
    <mergeCell ref="E522:E525"/>
    <mergeCell ref="F522:F525"/>
    <mergeCell ref="G522:G525"/>
    <mergeCell ref="I522:I525"/>
    <mergeCell ref="J522:J525"/>
    <mergeCell ref="K522:K525"/>
    <mergeCell ref="L522:L525"/>
    <mergeCell ref="M522:M525"/>
    <mergeCell ref="N522:N525"/>
    <mergeCell ref="O522:O525"/>
    <mergeCell ref="P522:P525"/>
    <mergeCell ref="Q522:Q525"/>
    <mergeCell ref="R522:R525"/>
    <mergeCell ref="A526:A528"/>
    <mergeCell ref="B526:B528"/>
    <mergeCell ref="C526:C528"/>
    <mergeCell ref="D526:D528"/>
    <mergeCell ref="E526:E528"/>
    <mergeCell ref="G526:G528"/>
    <mergeCell ref="H526:H528"/>
    <mergeCell ref="I526:I528"/>
    <mergeCell ref="J526:J528"/>
    <mergeCell ref="K526:K528"/>
    <mergeCell ref="O526:O528"/>
    <mergeCell ref="P526:P528"/>
    <mergeCell ref="Q526:Q528"/>
    <mergeCell ref="R526:R528"/>
    <mergeCell ref="F527:F528"/>
    <mergeCell ref="A529:A530"/>
    <mergeCell ref="B529:B530"/>
    <mergeCell ref="C529:C530"/>
    <mergeCell ref="D529:D530"/>
    <mergeCell ref="E529:E530"/>
    <mergeCell ref="F529:F530"/>
    <mergeCell ref="G529:G530"/>
    <mergeCell ref="I529:I530"/>
    <mergeCell ref="J529:J530"/>
    <mergeCell ref="K529:K530"/>
    <mergeCell ref="L529:L530"/>
    <mergeCell ref="M529:M530"/>
    <mergeCell ref="N529:N530"/>
    <mergeCell ref="O529:O530"/>
    <mergeCell ref="P529:P530"/>
    <mergeCell ref="Q529:Q530"/>
    <mergeCell ref="R529:R530"/>
    <mergeCell ref="A532:A534"/>
    <mergeCell ref="B532:B534"/>
    <mergeCell ref="C532:C534"/>
    <mergeCell ref="D532:D534"/>
    <mergeCell ref="E532:E534"/>
    <mergeCell ref="F532:F534"/>
    <mergeCell ref="G532:G534"/>
    <mergeCell ref="I532:I534"/>
    <mergeCell ref="J532:J534"/>
    <mergeCell ref="K532:K534"/>
    <mergeCell ref="L532:L534"/>
    <mergeCell ref="M532:M534"/>
    <mergeCell ref="N532:N534"/>
    <mergeCell ref="O532:O534"/>
    <mergeCell ref="P532:P534"/>
    <mergeCell ref="Q532:Q534"/>
    <mergeCell ref="R532:R534"/>
    <mergeCell ref="A535:A538"/>
    <mergeCell ref="B535:B538"/>
    <mergeCell ref="C535:C536"/>
    <mergeCell ref="D535:D538"/>
    <mergeCell ref="E535:E538"/>
    <mergeCell ref="F535:F536"/>
    <mergeCell ref="G535:G538"/>
    <mergeCell ref="I535:I538"/>
    <mergeCell ref="J535:J538"/>
    <mergeCell ref="K535:K538"/>
    <mergeCell ref="L535:L538"/>
    <mergeCell ref="M535:M538"/>
    <mergeCell ref="N535:N538"/>
    <mergeCell ref="O535:O538"/>
    <mergeCell ref="P535:P538"/>
    <mergeCell ref="Q535:Q538"/>
    <mergeCell ref="R535:R538"/>
    <mergeCell ref="C537:C538"/>
    <mergeCell ref="F537:F538"/>
    <mergeCell ref="A539:A540"/>
    <mergeCell ref="B539:B540"/>
    <mergeCell ref="C539:C540"/>
    <mergeCell ref="D539:D540"/>
    <mergeCell ref="E539:E540"/>
    <mergeCell ref="F539:F540"/>
    <mergeCell ref="G539:G540"/>
    <mergeCell ref="H539:H540"/>
    <mergeCell ref="I539:I540"/>
    <mergeCell ref="J539:J540"/>
    <mergeCell ref="K539:K540"/>
    <mergeCell ref="O539:O540"/>
    <mergeCell ref="P539:P540"/>
    <mergeCell ref="Q539:Q540"/>
    <mergeCell ref="R539:R540"/>
    <mergeCell ref="L542:M542"/>
    <mergeCell ref="A544:A547"/>
    <mergeCell ref="B544:B547"/>
    <mergeCell ref="C544:C547"/>
    <mergeCell ref="D544:D547"/>
    <mergeCell ref="E544:E547"/>
    <mergeCell ref="F544:F547"/>
    <mergeCell ref="G544:G547"/>
    <mergeCell ref="I544:I547"/>
    <mergeCell ref="J544:J547"/>
    <mergeCell ref="K544:K547"/>
    <mergeCell ref="L544:L547"/>
    <mergeCell ref="M544:M547"/>
    <mergeCell ref="N544:N547"/>
    <mergeCell ref="O544:O547"/>
    <mergeCell ref="P544:P547"/>
    <mergeCell ref="Q544:Q547"/>
    <mergeCell ref="R544:R547"/>
    <mergeCell ref="A548:A550"/>
    <mergeCell ref="B548:B550"/>
    <mergeCell ref="C548:C550"/>
    <mergeCell ref="D548:D550"/>
    <mergeCell ref="E548:E550"/>
    <mergeCell ref="F548:F550"/>
    <mergeCell ref="G548:G550"/>
    <mergeCell ref="I548:I550"/>
    <mergeCell ref="J548:J550"/>
    <mergeCell ref="K548:K550"/>
    <mergeCell ref="L548:L550"/>
    <mergeCell ref="M548:M550"/>
    <mergeCell ref="N548:N550"/>
    <mergeCell ref="O548:O550"/>
    <mergeCell ref="P548:P550"/>
    <mergeCell ref="Q548:Q550"/>
    <mergeCell ref="R548:R550"/>
    <mergeCell ref="A551:A552"/>
    <mergeCell ref="B551:B552"/>
    <mergeCell ref="C551:C552"/>
    <mergeCell ref="D551:D552"/>
    <mergeCell ref="E551:E552"/>
    <mergeCell ref="F551:F552"/>
    <mergeCell ref="G551:G552"/>
    <mergeCell ref="H551:H552"/>
    <mergeCell ref="I551:I552"/>
    <mergeCell ref="J551:J552"/>
    <mergeCell ref="K551:K552"/>
    <mergeCell ref="O551:O552"/>
    <mergeCell ref="P551:P552"/>
    <mergeCell ref="Q551:Q552"/>
    <mergeCell ref="R551:R552"/>
    <mergeCell ref="A553:A556"/>
    <mergeCell ref="B553:B556"/>
    <mergeCell ref="C553:C556"/>
    <mergeCell ref="D553:D556"/>
    <mergeCell ref="E553:E554"/>
    <mergeCell ref="F553:F556"/>
    <mergeCell ref="G553:G556"/>
    <mergeCell ref="H553:H556"/>
    <mergeCell ref="I553:I556"/>
    <mergeCell ref="J553:J556"/>
    <mergeCell ref="K553:K556"/>
    <mergeCell ref="M553:M554"/>
    <mergeCell ref="N553:N554"/>
    <mergeCell ref="O553:O556"/>
    <mergeCell ref="P553:P556"/>
    <mergeCell ref="Q553:Q556"/>
    <mergeCell ref="R553:R556"/>
    <mergeCell ref="E555:E556"/>
    <mergeCell ref="A557:A558"/>
    <mergeCell ref="B557:B558"/>
    <mergeCell ref="C557:C558"/>
    <mergeCell ref="D557:D558"/>
    <mergeCell ref="E557:E558"/>
    <mergeCell ref="F557:F558"/>
    <mergeCell ref="G557:G558"/>
    <mergeCell ref="I557:I558"/>
    <mergeCell ref="L557:L558"/>
    <mergeCell ref="M557:M558"/>
    <mergeCell ref="N557:N558"/>
    <mergeCell ref="O557:O558"/>
    <mergeCell ref="P557:P558"/>
    <mergeCell ref="Q557:Q558"/>
    <mergeCell ref="R557:R558"/>
    <mergeCell ref="A562:A564"/>
    <mergeCell ref="B562:B564"/>
    <mergeCell ref="D562:D564"/>
    <mergeCell ref="E562:E564"/>
    <mergeCell ref="F562:F564"/>
    <mergeCell ref="G562:G563"/>
    <mergeCell ref="H562:H564"/>
    <mergeCell ref="I562:I564"/>
    <mergeCell ref="J562:J564"/>
    <mergeCell ref="K562:K564"/>
    <mergeCell ref="N562:N564"/>
    <mergeCell ref="O562:O564"/>
    <mergeCell ref="P562:P564"/>
    <mergeCell ref="Q562:Q564"/>
    <mergeCell ref="R562:R564"/>
    <mergeCell ref="C563:C564"/>
    <mergeCell ref="M563:M564"/>
    <mergeCell ref="A565:A567"/>
    <mergeCell ref="B565:B567"/>
    <mergeCell ref="C565:C567"/>
    <mergeCell ref="D565:D567"/>
    <mergeCell ref="E565:E567"/>
    <mergeCell ref="F565:F567"/>
    <mergeCell ref="G565:G567"/>
    <mergeCell ref="H565:H567"/>
    <mergeCell ref="I565:I567"/>
    <mergeCell ref="J565:J567"/>
    <mergeCell ref="K565:K567"/>
    <mergeCell ref="O565:O567"/>
    <mergeCell ref="P565:P567"/>
    <mergeCell ref="Q565:Q567"/>
    <mergeCell ref="R565:R567"/>
    <mergeCell ref="A568:A570"/>
    <mergeCell ref="B568:B570"/>
    <mergeCell ref="C568:C570"/>
    <mergeCell ref="D568:D570"/>
    <mergeCell ref="E568:E570"/>
    <mergeCell ref="F568:F570"/>
    <mergeCell ref="G568:G570"/>
    <mergeCell ref="I568:I570"/>
    <mergeCell ref="J568:J570"/>
    <mergeCell ref="K568:K570"/>
    <mergeCell ref="L568:L570"/>
    <mergeCell ref="M568:M570"/>
    <mergeCell ref="N568:N570"/>
    <mergeCell ref="O568:O570"/>
    <mergeCell ref="P568:P570"/>
    <mergeCell ref="Q568:Q570"/>
    <mergeCell ref="R568:R570"/>
    <mergeCell ref="A571:A575"/>
    <mergeCell ref="B571:B575"/>
    <mergeCell ref="C571:C575"/>
    <mergeCell ref="D571:D575"/>
    <mergeCell ref="E571:E575"/>
    <mergeCell ref="F571:F573"/>
    <mergeCell ref="G571:G575"/>
    <mergeCell ref="I571:I575"/>
    <mergeCell ref="J571:J575"/>
    <mergeCell ref="K571:K575"/>
    <mergeCell ref="L571:L575"/>
    <mergeCell ref="M571:M575"/>
    <mergeCell ref="N571:N575"/>
    <mergeCell ref="O571:O575"/>
    <mergeCell ref="P571:P575"/>
    <mergeCell ref="Q571:Q575"/>
    <mergeCell ref="R571:R575"/>
    <mergeCell ref="F574:F575"/>
    <mergeCell ref="A580:A582"/>
    <mergeCell ref="B580:B582"/>
    <mergeCell ref="D580:D582"/>
    <mergeCell ref="E580:E581"/>
    <mergeCell ref="F580:F581"/>
    <mergeCell ref="G580:G581"/>
    <mergeCell ref="I580:I582"/>
    <mergeCell ref="J580:J582"/>
    <mergeCell ref="K580:K582"/>
    <mergeCell ref="L580:L581"/>
    <mergeCell ref="M580:M581"/>
    <mergeCell ref="N580:N581"/>
    <mergeCell ref="O580:O582"/>
    <mergeCell ref="P580:P582"/>
    <mergeCell ref="Q580:Q582"/>
    <mergeCell ref="R580:R582"/>
    <mergeCell ref="C584:D584"/>
    <mergeCell ref="A585:A587"/>
    <mergeCell ref="B585:B587"/>
    <mergeCell ref="C585:C587"/>
    <mergeCell ref="D585:D587"/>
    <mergeCell ref="E585:E587"/>
    <mergeCell ref="F585:F587"/>
    <mergeCell ref="G585:G587"/>
    <mergeCell ref="I585:I587"/>
    <mergeCell ref="J585:J587"/>
    <mergeCell ref="K585:K587"/>
    <mergeCell ref="L585:L587"/>
    <mergeCell ref="M585:M587"/>
    <mergeCell ref="N585:N587"/>
    <mergeCell ref="O585:O587"/>
    <mergeCell ref="P585:P587"/>
    <mergeCell ref="Q585:Q587"/>
    <mergeCell ref="R585:R587"/>
    <mergeCell ref="C588:D588"/>
    <mergeCell ref="A589:A597"/>
    <mergeCell ref="B589:B597"/>
    <mergeCell ref="C589:C597"/>
    <mergeCell ref="D589:D597"/>
    <mergeCell ref="E589:E597"/>
    <mergeCell ref="F589:F597"/>
    <mergeCell ref="G589:G597"/>
    <mergeCell ref="I589:I597"/>
    <mergeCell ref="J589:J597"/>
    <mergeCell ref="K589:K592"/>
    <mergeCell ref="L589:L597"/>
    <mergeCell ref="M589:M597"/>
    <mergeCell ref="N589:N597"/>
    <mergeCell ref="O589:O597"/>
    <mergeCell ref="P589:P597"/>
    <mergeCell ref="Q589:Q597"/>
    <mergeCell ref="R589:R597"/>
    <mergeCell ref="K593:K597"/>
    <mergeCell ref="L598:M598"/>
    <mergeCell ref="A602:A604"/>
    <mergeCell ref="B602:B604"/>
    <mergeCell ref="C602:C604"/>
    <mergeCell ref="D602:D604"/>
    <mergeCell ref="E602:E604"/>
    <mergeCell ref="F602:F604"/>
    <mergeCell ref="G602:G604"/>
    <mergeCell ref="H602:H604"/>
    <mergeCell ref="I602:I604"/>
    <mergeCell ref="J602:J604"/>
    <mergeCell ref="K602:K604"/>
    <mergeCell ref="O602:O604"/>
    <mergeCell ref="P602:P604"/>
    <mergeCell ref="Q602:Q604"/>
    <mergeCell ref="R602:R604"/>
    <mergeCell ref="A605:A606"/>
    <mergeCell ref="B605:B606"/>
    <mergeCell ref="C605:C606"/>
    <mergeCell ref="D605:D606"/>
    <mergeCell ref="E605:E606"/>
    <mergeCell ref="F605:F606"/>
    <mergeCell ref="G605:G606"/>
    <mergeCell ref="H605:H606"/>
    <mergeCell ref="I605:I606"/>
    <mergeCell ref="J605:J606"/>
    <mergeCell ref="K605:K606"/>
    <mergeCell ref="O605:O606"/>
    <mergeCell ref="P605:P606"/>
    <mergeCell ref="Q605:Q606"/>
    <mergeCell ref="R605:R606"/>
    <mergeCell ref="A607:A608"/>
    <mergeCell ref="B607:B608"/>
    <mergeCell ref="C607:C608"/>
    <mergeCell ref="D607:D608"/>
    <mergeCell ref="E607:E608"/>
    <mergeCell ref="F607:F608"/>
    <mergeCell ref="G607:G608"/>
    <mergeCell ref="H607:H608"/>
    <mergeCell ref="I607:I608"/>
    <mergeCell ref="J607:J608"/>
    <mergeCell ref="K607:K608"/>
    <mergeCell ref="O607:O608"/>
    <mergeCell ref="P607:P608"/>
    <mergeCell ref="Q607:Q608"/>
    <mergeCell ref="R607:R608"/>
    <mergeCell ref="A610:A611"/>
    <mergeCell ref="B610:B611"/>
    <mergeCell ref="D610:D611"/>
    <mergeCell ref="E610:E611"/>
    <mergeCell ref="F610:F611"/>
    <mergeCell ref="G610:G611"/>
    <mergeCell ref="H610:H611"/>
    <mergeCell ref="I610:I611"/>
    <mergeCell ref="J610:J611"/>
    <mergeCell ref="K610:K611"/>
    <mergeCell ref="L610:L611"/>
    <mergeCell ref="M610:M611"/>
    <mergeCell ref="N610:N611"/>
    <mergeCell ref="O610:O611"/>
    <mergeCell ref="P610:P611"/>
    <mergeCell ref="Q610:Q611"/>
    <mergeCell ref="R610:R611"/>
    <mergeCell ref="A613:A618"/>
    <mergeCell ref="B613:B618"/>
    <mergeCell ref="C613:C618"/>
    <mergeCell ref="D613:D618"/>
    <mergeCell ref="E613:E618"/>
    <mergeCell ref="F613:F618"/>
    <mergeCell ref="G613:G614"/>
    <mergeCell ref="H613:H615"/>
    <mergeCell ref="I613:I615"/>
    <mergeCell ref="J613:J615"/>
    <mergeCell ref="K613:K615"/>
    <mergeCell ref="O613:O618"/>
    <mergeCell ref="P613:P618"/>
    <mergeCell ref="Q613:Q618"/>
    <mergeCell ref="R613:R618"/>
    <mergeCell ref="G616:G618"/>
    <mergeCell ref="H616:H618"/>
    <mergeCell ref="I616:I618"/>
    <mergeCell ref="J616:J618"/>
    <mergeCell ref="K616:K618"/>
    <mergeCell ref="A620:A623"/>
    <mergeCell ref="B620:B623"/>
    <mergeCell ref="C620:C623"/>
    <mergeCell ref="D620:D623"/>
    <mergeCell ref="E620:E623"/>
    <mergeCell ref="F620:F623"/>
    <mergeCell ref="G620:G623"/>
    <mergeCell ref="H620:H623"/>
    <mergeCell ref="I620:I623"/>
    <mergeCell ref="J620:J623"/>
    <mergeCell ref="K620:K623"/>
    <mergeCell ref="O620:O623"/>
    <mergeCell ref="P620:P623"/>
    <mergeCell ref="Q620:Q623"/>
    <mergeCell ref="R620:R623"/>
    <mergeCell ref="A625:A626"/>
    <mergeCell ref="B625:B626"/>
    <mergeCell ref="C625:C626"/>
    <mergeCell ref="D625:D626"/>
    <mergeCell ref="E625:E626"/>
    <mergeCell ref="F625:F626"/>
    <mergeCell ref="G625:G626"/>
    <mergeCell ref="I625:I626"/>
    <mergeCell ref="J625:J626"/>
    <mergeCell ref="K625:K626"/>
    <mergeCell ref="N625:N626"/>
    <mergeCell ref="Q625:Q626"/>
    <mergeCell ref="R625:R626"/>
    <mergeCell ref="A627:A629"/>
    <mergeCell ref="B627:B629"/>
    <mergeCell ref="C627:C629"/>
    <mergeCell ref="D627:D628"/>
    <mergeCell ref="E627:E628"/>
    <mergeCell ref="F627:F628"/>
    <mergeCell ref="G627:G628"/>
    <mergeCell ref="H627:H628"/>
    <mergeCell ref="I627:I628"/>
    <mergeCell ref="K627:K628"/>
    <mergeCell ref="L627:L628"/>
    <mergeCell ref="M627:M628"/>
    <mergeCell ref="N627:N628"/>
    <mergeCell ref="O627:O629"/>
    <mergeCell ref="P627:P629"/>
    <mergeCell ref="Q627:Q629"/>
    <mergeCell ref="R627:R629"/>
    <mergeCell ref="D629:G629"/>
    <mergeCell ref="A630:A631"/>
    <mergeCell ref="B630:B631"/>
    <mergeCell ref="D630:D631"/>
    <mergeCell ref="E630:E631"/>
    <mergeCell ref="F630:F631"/>
    <mergeCell ref="G630:G631"/>
    <mergeCell ref="H630:H631"/>
    <mergeCell ref="I630:I631"/>
    <mergeCell ref="J630:J631"/>
    <mergeCell ref="L630:L631"/>
    <mergeCell ref="M630:M631"/>
    <mergeCell ref="N630:N631"/>
    <mergeCell ref="O630:O631"/>
    <mergeCell ref="P630:P631"/>
    <mergeCell ref="Q630:Q631"/>
    <mergeCell ref="R630:R631"/>
    <mergeCell ref="A635:A637"/>
    <mergeCell ref="B635:B637"/>
    <mergeCell ref="C635:C637"/>
    <mergeCell ref="D635:D637"/>
    <mergeCell ref="E635:E637"/>
    <mergeCell ref="F635:F637"/>
    <mergeCell ref="G635:G637"/>
    <mergeCell ref="I635:I637"/>
    <mergeCell ref="J635:J637"/>
    <mergeCell ref="K635:K637"/>
    <mergeCell ref="L635:L637"/>
    <mergeCell ref="M635:M637"/>
    <mergeCell ref="N635:N637"/>
    <mergeCell ref="O635:O637"/>
    <mergeCell ref="P635:P637"/>
    <mergeCell ref="Q635:Q637"/>
    <mergeCell ref="R635:R637"/>
    <mergeCell ref="A641:A642"/>
    <mergeCell ref="B641:B642"/>
    <mergeCell ref="C641:C642"/>
    <mergeCell ref="D641:D642"/>
    <mergeCell ref="E641:E642"/>
    <mergeCell ref="F641:F642"/>
    <mergeCell ref="G641:G642"/>
    <mergeCell ref="H641:H642"/>
    <mergeCell ref="I641:I642"/>
    <mergeCell ref="K641:K642"/>
    <mergeCell ref="L641:L642"/>
    <mergeCell ref="M641:M642"/>
    <mergeCell ref="N641:N642"/>
    <mergeCell ref="O641:O642"/>
    <mergeCell ref="P641:P642"/>
    <mergeCell ref="Q641:Q642"/>
    <mergeCell ref="R641:R642"/>
    <mergeCell ref="A644:A645"/>
    <mergeCell ref="B644:B645"/>
    <mergeCell ref="C644:C645"/>
    <mergeCell ref="D644:D645"/>
    <mergeCell ref="E644:E645"/>
    <mergeCell ref="F644:F645"/>
    <mergeCell ref="G644:G645"/>
    <mergeCell ref="I644:I645"/>
    <mergeCell ref="J644:J645"/>
    <mergeCell ref="K644:K645"/>
    <mergeCell ref="L644:L645"/>
    <mergeCell ref="M644:M645"/>
    <mergeCell ref="N644:N645"/>
    <mergeCell ref="O644:O645"/>
    <mergeCell ref="P644:P645"/>
    <mergeCell ref="Q644:Q645"/>
    <mergeCell ref="R644:R645"/>
    <mergeCell ref="A647:A649"/>
    <mergeCell ref="B647:B649"/>
    <mergeCell ref="C647:C649"/>
    <mergeCell ref="D647:D649"/>
    <mergeCell ref="E647:E649"/>
    <mergeCell ref="F647:F649"/>
    <mergeCell ref="G647:G649"/>
    <mergeCell ref="I647:I649"/>
    <mergeCell ref="J647:J649"/>
    <mergeCell ref="K647:K649"/>
    <mergeCell ref="L647:L649"/>
    <mergeCell ref="M647:M649"/>
    <mergeCell ref="N647:N649"/>
    <mergeCell ref="O647:O649"/>
    <mergeCell ref="P647:P649"/>
    <mergeCell ref="Q647:Q649"/>
    <mergeCell ref="R647:R649"/>
    <mergeCell ref="A651:A654"/>
    <mergeCell ref="B651:B654"/>
    <mergeCell ref="C651:C654"/>
    <mergeCell ref="D651:D654"/>
    <mergeCell ref="E651:E654"/>
    <mergeCell ref="F651:F654"/>
    <mergeCell ref="G651:G654"/>
    <mergeCell ref="I651:I654"/>
    <mergeCell ref="J651:J654"/>
    <mergeCell ref="K651:K654"/>
    <mergeCell ref="L651:L654"/>
    <mergeCell ref="M651:M654"/>
    <mergeCell ref="N651:N654"/>
    <mergeCell ref="O651:O654"/>
    <mergeCell ref="P651:P654"/>
    <mergeCell ref="Q651:Q654"/>
    <mergeCell ref="R651:R654"/>
    <mergeCell ref="A656:A661"/>
    <mergeCell ref="B656:B661"/>
    <mergeCell ref="C656:C661"/>
    <mergeCell ref="D656:D661"/>
    <mergeCell ref="E656:E661"/>
    <mergeCell ref="F656:F661"/>
    <mergeCell ref="G656:G661"/>
    <mergeCell ref="I656:I661"/>
    <mergeCell ref="J656:J661"/>
    <mergeCell ref="K656:K661"/>
    <mergeCell ref="L656:L661"/>
    <mergeCell ref="M656:M661"/>
    <mergeCell ref="N656:N661"/>
    <mergeCell ref="O656:O661"/>
    <mergeCell ref="P656:P661"/>
    <mergeCell ref="Q656:Q661"/>
    <mergeCell ref="R656:R661"/>
    <mergeCell ref="A663:A666"/>
    <mergeCell ref="B663:B666"/>
    <mergeCell ref="C663:C666"/>
    <mergeCell ref="D663:D666"/>
    <mergeCell ref="E663:E666"/>
    <mergeCell ref="F663:F666"/>
    <mergeCell ref="G663:G666"/>
    <mergeCell ref="I663:I666"/>
    <mergeCell ref="J663:J666"/>
    <mergeCell ref="K663:K666"/>
    <mergeCell ref="L663:L664"/>
    <mergeCell ref="M663:M666"/>
    <mergeCell ref="N663:N666"/>
    <mergeCell ref="O663:O666"/>
    <mergeCell ref="P663:P666"/>
    <mergeCell ref="Q663:Q666"/>
    <mergeCell ref="R663:R666"/>
    <mergeCell ref="L665:L666"/>
    <mergeCell ref="A667:A668"/>
    <mergeCell ref="B667:B668"/>
    <mergeCell ref="C667:C668"/>
    <mergeCell ref="D667:D668"/>
    <mergeCell ref="E667:E668"/>
    <mergeCell ref="F667:F668"/>
    <mergeCell ref="G667:G668"/>
    <mergeCell ref="I667:I668"/>
    <mergeCell ref="J667:J668"/>
    <mergeCell ref="K667:K668"/>
    <mergeCell ref="L667:L668"/>
    <mergeCell ref="M667:M668"/>
    <mergeCell ref="N667:N668"/>
    <mergeCell ref="O667:O668"/>
    <mergeCell ref="P667:P668"/>
    <mergeCell ref="Q667:Q668"/>
    <mergeCell ref="R667:R668"/>
  </mergeCells>
  <hyperlinks>
    <hyperlink ref="A9" r:id="rId1" display="Connect2Car@CES"/>
    <hyperlink ref="K91" r:id="rId2" display="mailto:RGillum@nas.edu"/>
  </hyperlinks>
  <printOptions/>
  <pageMargins left="0.7" right="0.7" top="0.75" bottom="0.75" header="0.5118055555555555" footer="0.5118055555555555"/>
  <pageSetup horizontalDpi="300" verticalDpi="300" orientation="portrait"/>
  <legacyDrawing r:id="rId4"/>
</worksheet>
</file>

<file path=xl/worksheets/sheet3.xml><?xml version="1.0" encoding="utf-8"?>
<worksheet xmlns="http://schemas.openxmlformats.org/spreadsheetml/2006/main" xmlns:r="http://schemas.openxmlformats.org/officeDocument/2006/relationships">
  <dimension ref="A3:BL5"/>
  <sheetViews>
    <sheetView zoomScale="95" zoomScaleNormal="95" workbookViewId="0" topLeftCell="A1">
      <selection activeCell="B18" sqref="B18"/>
    </sheetView>
  </sheetViews>
  <sheetFormatPr defaultColWidth="9.140625" defaultRowHeight="15" customHeight="1"/>
  <cols>
    <col min="1" max="1" width="19.421875" style="612" customWidth="1"/>
    <col min="2" max="2" width="35.421875" style="612" customWidth="1"/>
    <col min="3" max="3" width="23.421875" style="612" customWidth="1"/>
    <col min="4" max="64" width="10.421875" style="613" customWidth="1"/>
    <col min="65" max="16384" width="10.421875" style="0" customWidth="1"/>
  </cols>
  <sheetData>
    <row r="3" spans="1:64" ht="15" customHeight="1">
      <c r="A3" s="614" t="s">
        <v>1977</v>
      </c>
      <c r="B3" s="614" t="s">
        <v>1978</v>
      </c>
      <c r="C3" s="614" t="s">
        <v>1979</v>
      </c>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5"/>
      <c r="BG3" s="615"/>
      <c r="BH3" s="615"/>
      <c r="BI3" s="615"/>
      <c r="BJ3" s="615"/>
      <c r="BK3" s="615"/>
      <c r="BL3" s="615"/>
    </row>
    <row r="4" spans="1:64" ht="15" customHeight="1">
      <c r="A4" s="614" t="s">
        <v>1980</v>
      </c>
      <c r="B4" s="614" t="s">
        <v>1981</v>
      </c>
      <c r="C4" s="614" t="s">
        <v>1982</v>
      </c>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615"/>
      <c r="BG4" s="615"/>
      <c r="BH4" s="615"/>
      <c r="BI4" s="615"/>
      <c r="BJ4" s="615"/>
      <c r="BK4" s="615"/>
      <c r="BL4" s="615"/>
    </row>
    <row r="5" spans="1:3" ht="15" customHeight="1">
      <c r="A5" s="616" t="s">
        <v>1983</v>
      </c>
      <c r="B5" s="616" t="s">
        <v>1984</v>
      </c>
      <c r="C5" s="616" t="s">
        <v>1985</v>
      </c>
    </row>
  </sheetData>
  <sheetProtection selectLockedCells="1" selectUnlockedCells="1"/>
  <hyperlinks>
    <hyperlink ref="A5" r:id="rId1" display="Events &amp; Expositions"/>
    <hyperlink ref="B5" r:id="rId2" display="Upcoming Events"/>
    <hyperlink ref="C5" r:id="rId3" display="List of upcoming events"/>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10355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Joshua Levin</cp:lastModifiedBy>
  <dcterms:modified xsi:type="dcterms:W3CDTF">2020-12-24T00:30:34Z</dcterms:modified>
  <cp:category/>
  <cp:version/>
  <cp:contentType/>
  <cp:contentStatus/>
  <cp:revision>6275</cp:revision>
</cp:coreProperties>
</file>